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568-ก่อสร้างโรงจอดรถยนต์ จำนวน 20 คัน\ประกวดราคา\"/>
    </mc:Choice>
  </mc:AlternateContent>
  <xr:revisionPtr revIDLastSave="0" documentId="13_ncr:1_{166734BF-D8D7-4DFD-9586-32C90E21C54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ปร.4 - 20 คัน(อัยการ)" sheetId="3" r:id="rId1"/>
    <sheet name="ปร.5 - 20 คัน(อัยการ)" sheetId="4" r:id="rId2"/>
    <sheet name="ปร.4 - 12 คัน(บพ)" sheetId="5" state="hidden" r:id="rId3"/>
    <sheet name="ปร.5 - 12 คัน(บพ)" sheetId="6" state="hidden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a" localSheetId="2">#REF!</definedName>
    <definedName name="\a" localSheetId="3">#REF!</definedName>
    <definedName name="\a">#REF!</definedName>
    <definedName name="\z" localSheetId="2">#REF!</definedName>
    <definedName name="\z" localSheetId="3">#REF!</definedName>
    <definedName name="\z">#REF!</definedName>
    <definedName name="_cut1">[1]ค่างานต้นทุน!$H$18</definedName>
    <definedName name="AT" localSheetId="2">#REF!</definedName>
    <definedName name="AT" localSheetId="3">#REF!</definedName>
    <definedName name="AT">#REF!</definedName>
    <definedName name="AV.SP" localSheetId="2">#REF!</definedName>
    <definedName name="AV.SP" localSheetId="3">#REF!</definedName>
    <definedName name="AV.SP">#REF!</definedName>
    <definedName name="BD" localSheetId="2">#REF!</definedName>
    <definedName name="BD" localSheetId="3">#REF!</definedName>
    <definedName name="BD">#REF!</definedName>
    <definedName name="ben">[1]ค่างานต้นทุน!$H$11</definedName>
    <definedName name="BZ" localSheetId="2">#REF!</definedName>
    <definedName name="BZ" localSheetId="3">#REF!</definedName>
    <definedName name="BZ">#REF!</definedName>
    <definedName name="CR" localSheetId="2">#REF!</definedName>
    <definedName name="CR" localSheetId="3">#REF!</definedName>
    <definedName name="CR">#REF!</definedName>
    <definedName name="cs">[1]ค่างานต้นทุน!$H$106</definedName>
    <definedName name="CT" localSheetId="2">#REF!</definedName>
    <definedName name="CT" localSheetId="3">#REF!</definedName>
    <definedName name="CT">#REF!</definedName>
    <definedName name="CV" localSheetId="2">#REF!</definedName>
    <definedName name="CV" localSheetId="3">#REF!</definedName>
    <definedName name="CV">#REF!</definedName>
    <definedName name="_xlnm.Database" localSheetId="2">#REF!</definedName>
    <definedName name="_xlnm.Database" localSheetId="3">#REF!</definedName>
    <definedName name="_xlnm.Database">#REF!</definedName>
    <definedName name="DETAIL" localSheetId="2">#REF!</definedName>
    <definedName name="DETAIL" localSheetId="3">#REF!</definedName>
    <definedName name="DETAIL">#REF!</definedName>
    <definedName name="DS" localSheetId="2">#REF!</definedName>
    <definedName name="DS" localSheetId="3">#REF!</definedName>
    <definedName name="DS">#REF!</definedName>
    <definedName name="DT" localSheetId="2">#REF!</definedName>
    <definedName name="DT" localSheetId="3">#REF!</definedName>
    <definedName name="DT">#REF!</definedName>
    <definedName name="ER" localSheetId="2">#REF!</definedName>
    <definedName name="ER" localSheetId="3">#REF!</definedName>
    <definedName name="ER">#REF!</definedName>
    <definedName name="fill1">[1]ค่างานต้นทุน!$H$39</definedName>
    <definedName name="fill2">[1]ค่างานต้นทุน!$H$42</definedName>
    <definedName name="gaurd1">[1]ค่างานต้นทุน!$H$402</definedName>
    <definedName name="gaurd2">[1]ค่างานต้นทุน!$H$415</definedName>
    <definedName name="gaurd3">[1]ค่างานต้นทุน!$H$429</definedName>
    <definedName name="gaurd4">[1]ค่างานต้นทุน!$H$443</definedName>
    <definedName name="gaurd5">[1]ค่างานต้นทุน!$H$457</definedName>
    <definedName name="GR" localSheetId="2">#REF!</definedName>
    <definedName name="GR" localSheetId="3">#REF!</definedName>
    <definedName name="GR">#REF!</definedName>
    <definedName name="HOUR" localSheetId="2">#REF!</definedName>
    <definedName name="HOUR" localSheetId="3">#REF!</definedName>
    <definedName name="HOUR">#REF!</definedName>
    <definedName name="LB" localSheetId="2">#REF!</definedName>
    <definedName name="LB" localSheetId="3">#REF!</definedName>
    <definedName name="LB">#REF!</definedName>
    <definedName name="LBD" localSheetId="2">#REF!</definedName>
    <definedName name="LBD" localSheetId="3">#REF!</definedName>
    <definedName name="LBD">#REF!</definedName>
    <definedName name="lean" localSheetId="2">[2]รายการประมาณราคาต่อหน่วย!#REF!</definedName>
    <definedName name="lean" localSheetId="3">[2]รายการประมาณราคาต่อหน่วย!#REF!</definedName>
    <definedName name="lean">[2]รายการประมาณราคาต่อหน่วย!#REF!</definedName>
    <definedName name="LR" localSheetId="2">#REF!</definedName>
    <definedName name="LR" localSheetId="3">#REF!</definedName>
    <definedName name="LR">#REF!</definedName>
    <definedName name="LUB" localSheetId="2">#REF!</definedName>
    <definedName name="LUB" localSheetId="3">#REF!</definedName>
    <definedName name="LUB">#REF!</definedName>
    <definedName name="ML" localSheetId="2">#REF!</definedName>
    <definedName name="ML" localSheetId="3">#REF!</definedName>
    <definedName name="ML">#REF!</definedName>
    <definedName name="pipe100">[1]ค่างานต้นทุน!$H$159</definedName>
    <definedName name="pipe120">[1]ค่างานต้นทุน!$H$167</definedName>
    <definedName name="pipe150" localSheetId="2">[3]ค่างานต้นทุน!#REF!</definedName>
    <definedName name="pipe150" localSheetId="3">[3]ค่างานต้นทุน!#REF!</definedName>
    <definedName name="pipe150">[3]ค่างานต้นทุน!#REF!</definedName>
    <definedName name="pipe40.1">[1]ค่างานต้นทุน!$H$134</definedName>
    <definedName name="pipe60">[1]ค่างานต้นทุน!$H$143</definedName>
    <definedName name="pipe80">[1]ค่างานต้นทุน!$H$151</definedName>
    <definedName name="prime">[1]ค่างานต้นทุน!$H$89</definedName>
    <definedName name="_xlnm.Print_Area" localSheetId="2">'ปร.4 - 12 คัน(บพ)'!$B$1:$K$75</definedName>
    <definedName name="_xlnm.Print_Area" localSheetId="0">'ปร.4 - 20 คัน(อัยการ)'!$B$1:$K$113</definedName>
    <definedName name="_xlnm.Print_Area" localSheetId="3">'ปร.5 - 12 คัน(บพ)'!$B$1:$U$44</definedName>
    <definedName name="_xlnm.Print_Area" localSheetId="1">'ปร.5 - 20 คัน(อัยการ)'!$B$1:$U$29</definedName>
    <definedName name="_xlnm.Print_Titles" localSheetId="2">'ปร.4 - 12 คัน(บพ)'!$1:$7</definedName>
    <definedName name="_xlnm.Print_Titles" localSheetId="0">'ปร.4 - 20 คัน(อัยการ)'!$1:$7</definedName>
    <definedName name="RC_" localSheetId="2">#REF!</definedName>
    <definedName name="RC_" localSheetId="3">#REF!</definedName>
    <definedName name="RC_">#REF!</definedName>
    <definedName name="SB" localSheetId="2">#REF!</definedName>
    <definedName name="SB" localSheetId="3">#REF!</definedName>
    <definedName name="SB">#REF!</definedName>
    <definedName name="select">[1]ค่างานต้นทุน!$H$50</definedName>
    <definedName name="SP" localSheetId="2">#REF!</definedName>
    <definedName name="SP" localSheetId="3">#REF!</definedName>
    <definedName name="SP">#REF!</definedName>
    <definedName name="sumbride" localSheetId="2">[4]bq!#REF!</definedName>
    <definedName name="sumbride" localSheetId="3">[4]bq!#REF!</definedName>
    <definedName name="sumbride">[4]bq!#REF!</definedName>
    <definedName name="TC" localSheetId="2">#REF!</definedName>
    <definedName name="TC" localSheetId="3">#REF!</definedName>
    <definedName name="TC">#REF!</definedName>
    <definedName name="timber">[1]ค่างานต้นทุน!$H$474</definedName>
    <definedName name="TIME" localSheetId="2">#REF!</definedName>
    <definedName name="TIME" localSheetId="3">#REF!</definedName>
    <definedName name="TIME">#REF!</definedName>
    <definedName name="TR" localSheetId="2">#REF!</definedName>
    <definedName name="TR" localSheetId="3">#REF!</definedName>
    <definedName name="TR">#REF!</definedName>
    <definedName name="WT" localSheetId="2">#REF!</definedName>
    <definedName name="WT" localSheetId="3">#REF!</definedName>
    <definedName name="WT">#REF!</definedName>
    <definedName name="กม.">[1]ค่างานต้นทุน!$H$490</definedName>
    <definedName name="กรุย">[1]ค่างานต้นทุน!$H$5</definedName>
    <definedName name="ค2" localSheetId="2">[2]รายการประมาณราคาต่อหน่วย!#REF!</definedName>
    <definedName name="ค2" localSheetId="3">[2]รายการประมาณราคาต่อหน่วย!#REF!</definedName>
    <definedName name="ค2">[2]รายการประมาณราคาต่อหน่วย!#REF!</definedName>
    <definedName name="ค3" localSheetId="2">[2]รายการประมาณราคาต่อหน่วย!#REF!</definedName>
    <definedName name="ค3" localSheetId="3">[2]รายการประมาณราคาต่อหน่วย!#REF!</definedName>
    <definedName name="ค3">[2]รายการประมาณราคาต่อหน่วย!#REF!</definedName>
    <definedName name="ค่าขนส่งปูน">[5]ข้อมูลโครงการ!$Q$53</definedName>
    <definedName name="ต1_60">[1]ค่างานต้นทุน!$H$301</definedName>
    <definedName name="ต1ต76">[1]ค่างานต้นทุน!$H$356</definedName>
    <definedName name="ต61">[1]ค่างานต้นทุน!$H$306</definedName>
    <definedName name="ต63">[1]ค่างานต้นทุน!$H$311</definedName>
    <definedName name="ต64">[1]ค่างานต้นทุน!$H$316</definedName>
    <definedName name="ต65">[1]ค่างานต้นทุน!$H$321</definedName>
    <definedName name="ต69">[1]ค่างานต้นทุน!$H$326</definedName>
    <definedName name="ต71">[1]ค่างานต้นทุน!$H$331</definedName>
    <definedName name="ต74">[1]ค่างานต้นทุน!$H$336</definedName>
    <definedName name="ต76">[1]ค่างานต้นทุน!$H$341</definedName>
    <definedName name="ต77">[1]ค่างานต้นทุน!$H$346</definedName>
    <definedName name="ต78">[1]ค่างานต้นทุน!$H$351</definedName>
    <definedName name="น1">[1]ค่างานต้นทุน!$H$361</definedName>
    <definedName name="น1น2_1">[1]ค่างานต้นทุน!$H$366</definedName>
    <definedName name="น1น2_2">[1]ค่างานต้นทุน!$H$371</definedName>
    <definedName name="น1น2_3">[1]ค่างานต้นทุน!$H$376</definedName>
    <definedName name="น3">[1]ค่างานต้นทุน!$H$381</definedName>
    <definedName name="น4">[1]ค่างานต้นทุน!$H$386</definedName>
    <definedName name="น5">[1]ค่างานต้นทุน!$H$391</definedName>
    <definedName name="บ_ต">[1]ค่างานต้นทุน!$H$462</definedName>
    <definedName name="บ1">[1]ค่างานต้นทุน!$H$286</definedName>
    <definedName name="บ2">[1]ค่างานต้นทุน!$H$291</definedName>
    <definedName name="บ3_36">[1]ค่างานต้นทุน!$H$296</definedName>
    <definedName name="ปรับ">[1]ค่างานต้นทุน!$H$7</definedName>
    <definedName name="ปากท่อ1_100">[1]ค่างานต้นทุน!$H$553</definedName>
    <definedName name="ปากท่อ1_120">[1]ค่างานต้นทุน!$H$574</definedName>
    <definedName name="ปากท่อ1_60">[1]ค่างานต้นทุน!$H$511</definedName>
    <definedName name="ปากท่อ1_80">[1]ค่างานต้นทุน!$H$532</definedName>
    <definedName name="ปากท่อ2_100">[1]ค่างานต้นทุน!$H$560</definedName>
    <definedName name="ปากท่อ2_120">[1]ค่างานต้นทุน!$H$581</definedName>
    <definedName name="ปากท่อ2_60">[1]ค่างานต้นทุน!$H$518</definedName>
    <definedName name="ปากท่อ2_80">[1]ค่างานต้นทุน!$H$539</definedName>
    <definedName name="ปากท่อ3_100">[1]ค่างานต้นทุน!$H$567</definedName>
    <definedName name="ปากท่อ3_120">[1]ค่างานต้นทุน!$H$588</definedName>
    <definedName name="ปากท่อ3_60">[1]ค่างานต้นทุน!$H$525</definedName>
    <definedName name="ปากท่อ3_80">[1]ค่างานต้นทุน!$H$546</definedName>
    <definedName name="ป้ายก">[1]ค่างานต้นทุน!$H$464</definedName>
    <definedName name="ปูนทราย" localSheetId="2">[2]รายการประมาณราคาต่อหน่วย!#REF!</definedName>
    <definedName name="ปูนทราย" localSheetId="3">[2]รายการประมาณราคาต่อหน่วย!#REF!</definedName>
    <definedName name="ปูนทราย">[2]รายการประมาณราคาต่อหน่วย!#REF!</definedName>
    <definedName name="พื้นทาง">[1]ค่างานต้นทุน!$H$69</definedName>
    <definedName name="มาโคร1">#N/A</definedName>
    <definedName name="มาโคร21">#N/A</definedName>
    <definedName name="มาโคร22">#N/A</definedName>
    <definedName name="มาโคร23">#N/A</definedName>
    <definedName name="มาโคร24">#N/A</definedName>
    <definedName name="มาโคร25">#N/A</definedName>
    <definedName name="มาโคร26">#N/A</definedName>
    <definedName name="มาโคร27">#N/A</definedName>
    <definedName name="รองพื้นทาง">[1]ค่างานต้นทุน!$H$60</definedName>
    <definedName name="ระยะดินตัด">[6]ข้อมูลขนส่ง!$L$4</definedName>
    <definedName name="ระยะดินถม">[6]ข้อมูลขนส่ง!$P$4</definedName>
    <definedName name="ระยะทรายถม">[6]ข้อมูลขนส่ง!$T$12</definedName>
    <definedName name="ระยะทรายหยาบ">[6]ข้อมูลขนส่ง!$T$16</definedName>
    <definedName name="ระยะทางขนส่งปูนซีเมนต์">[5]ข้อมูลโครงการ!$Q$40</definedName>
    <definedName name="ระยะปูนต์">[6]ข้อมูลขนส่ง!$T$20</definedName>
    <definedName name="ระยะลูกรัง">[6]ข้อมูลขนส่ง!$P$12</definedName>
    <definedName name="ระยะวัสดุคัดเลือก">[6]ข้อมูลขนส่ง!$P$8</definedName>
    <definedName name="ระยะหิน12">[6]ข้อมูลขนส่ง!$X$8</definedName>
    <definedName name="ระยะหินคลุก">[6]ข้อมูลขนส่ง!$T$4</definedName>
    <definedName name="ระยะหินผสม">[6]ข้อมูลขนส่ง!$X$4</definedName>
    <definedName name="ระยะแอสฟัลท์">[6]ข้อมูลขนส่ง!$T$8</definedName>
    <definedName name="ราคาดินตัด">[6]ข้อมูลขนส่ง!$N$4</definedName>
    <definedName name="ราคาดินถม">[6]ข้อมูลขนส่ง!$R$4</definedName>
    <definedName name="ราคาต้นทุนงานทาง">[3]ปร.4!$K$106</definedName>
    <definedName name="ราคาทรายถม">[6]ข้อมูลขนส่ง!$V$12</definedName>
    <definedName name="ราคาทรายหยาบ">[6]ข้อมูลขนส่ง!$V$16</definedName>
    <definedName name="ราคาปูนtype1ที่แหล่ง">[5]ข้อมูลโครงการ!$Q$37</definedName>
    <definedName name="ราคาปูนต์">[6]ข้อมูลขนส่ง!$V$20</definedName>
    <definedName name="ราคาลูกรัง">[6]ข้อมูลขนส่ง!$R$12</definedName>
    <definedName name="ราคาวัสดุคัดเลือก">[6]ข้อมูลขนส่ง!$R$8</definedName>
    <definedName name="ราคาหิน12">[6]ข้อมูลขนส่ง!$Z$8</definedName>
    <definedName name="ราคาหินคลุก">[6]ข้อมูลขนส่ง!$V$4</definedName>
    <definedName name="ราคาหินผสม">[6]ข้อมูลขนส่ง!$Z$4</definedName>
    <definedName name="ราคาแอสฟัลท์">[6]ข้อมูลขนส่ง!$V$8</definedName>
    <definedName name="สี" localSheetId="2">[1]ค่างานต้นทุน!#REF!</definedName>
    <definedName name="สี" localSheetId="3">[1]ค่างานต้นทุน!#REF!</definedName>
    <definedName name="สี">[1]ค่างานต้นทุน!#REF!</definedName>
    <definedName name="หญ้า">[1]ค่างานต้นทุน!$H$175</definedName>
    <definedName name="หลัก">[1]ค่างานต้นทุน!$H$482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4" i="3" l="1"/>
  <c r="I104" i="3"/>
  <c r="J46" i="3"/>
  <c r="D71" i="3"/>
  <c r="D70" i="3"/>
  <c r="I109" i="3"/>
  <c r="G109" i="3"/>
  <c r="J109" i="3" s="1"/>
  <c r="G108" i="3" l="1"/>
  <c r="J108" i="3" s="1"/>
  <c r="I102" i="3" l="1"/>
  <c r="G102" i="3"/>
  <c r="I101" i="3"/>
  <c r="G101" i="3"/>
  <c r="J101" i="3" s="1"/>
  <c r="I99" i="3"/>
  <c r="G99" i="3"/>
  <c r="I98" i="3"/>
  <c r="G98" i="3"/>
  <c r="I97" i="3"/>
  <c r="G97" i="3"/>
  <c r="I96" i="3"/>
  <c r="G96" i="3"/>
  <c r="I95" i="3"/>
  <c r="G95" i="3"/>
  <c r="I94" i="3"/>
  <c r="G94" i="3"/>
  <c r="I93" i="3"/>
  <c r="G93" i="3"/>
  <c r="L110" i="3"/>
  <c r="L108" i="3"/>
  <c r="L107" i="3"/>
  <c r="G107" i="3"/>
  <c r="J107" i="3" s="1"/>
  <c r="I106" i="3"/>
  <c r="I113" i="3" s="1"/>
  <c r="G106" i="3"/>
  <c r="J95" i="3" l="1"/>
  <c r="J102" i="3"/>
  <c r="J98" i="3"/>
  <c r="G104" i="3"/>
  <c r="J99" i="3"/>
  <c r="J94" i="3"/>
  <c r="J96" i="3"/>
  <c r="J97" i="3"/>
  <c r="J93" i="3"/>
  <c r="J106" i="3"/>
  <c r="J113" i="3" s="1"/>
  <c r="J16" i="3" s="1"/>
  <c r="G113" i="3"/>
  <c r="L109" i="3"/>
  <c r="J104" i="3" l="1"/>
  <c r="J15" i="3" s="1"/>
  <c r="O113" i="3"/>
  <c r="I79" i="3" l="1"/>
  <c r="G79" i="3"/>
  <c r="J79" i="3" l="1"/>
  <c r="I80" i="3"/>
  <c r="I71" i="3"/>
  <c r="J71" i="3" s="1"/>
  <c r="D73" i="3"/>
  <c r="D72" i="3" l="1"/>
  <c r="G80" i="3"/>
  <c r="J80" i="3" s="1"/>
  <c r="I103" i="5"/>
  <c r="J103" i="5" s="1"/>
  <c r="O103" i="5" s="1"/>
  <c r="E103" i="5"/>
  <c r="I102" i="5"/>
  <c r="J102" i="5" s="1"/>
  <c r="O102" i="5" s="1"/>
  <c r="E102" i="5"/>
  <c r="I101" i="5"/>
  <c r="J101" i="5" s="1"/>
  <c r="O101" i="5" s="1"/>
  <c r="E101" i="5"/>
  <c r="I100" i="5"/>
  <c r="J100" i="5" s="1"/>
  <c r="O100" i="5" s="1"/>
  <c r="E100" i="5"/>
  <c r="L72" i="5"/>
  <c r="I72" i="5"/>
  <c r="G72" i="5"/>
  <c r="I71" i="5"/>
  <c r="G71" i="5"/>
  <c r="J71" i="5" s="1"/>
  <c r="I70" i="5"/>
  <c r="G70" i="5"/>
  <c r="J70" i="5" s="1"/>
  <c r="L69" i="5"/>
  <c r="L71" i="5" s="1"/>
  <c r="I69" i="5"/>
  <c r="G69" i="5"/>
  <c r="I68" i="5"/>
  <c r="G68" i="5"/>
  <c r="L67" i="5"/>
  <c r="I67" i="5"/>
  <c r="G67" i="5"/>
  <c r="L66" i="5"/>
  <c r="I66" i="5"/>
  <c r="G66" i="5"/>
  <c r="Q63" i="5"/>
  <c r="P63" i="5"/>
  <c r="S63" i="5" s="1"/>
  <c r="T63" i="5" s="1"/>
  <c r="T62" i="5"/>
  <c r="S62" i="5"/>
  <c r="U62" i="5" s="1"/>
  <c r="L62" i="5"/>
  <c r="I62" i="5"/>
  <c r="I63" i="5" s="1"/>
  <c r="G62" i="5"/>
  <c r="P59" i="5"/>
  <c r="D59" i="5"/>
  <c r="I59" i="5" s="1"/>
  <c r="D58" i="5"/>
  <c r="I58" i="5" s="1"/>
  <c r="R57" i="5"/>
  <c r="D57" i="5"/>
  <c r="I57" i="5" s="1"/>
  <c r="D56" i="5"/>
  <c r="R55" i="5"/>
  <c r="S55" i="5" s="1"/>
  <c r="P55" i="5"/>
  <c r="D55" i="5"/>
  <c r="G55" i="5" s="1"/>
  <c r="D54" i="5"/>
  <c r="G54" i="5" s="1"/>
  <c r="D50" i="5"/>
  <c r="I50" i="5" s="1"/>
  <c r="R49" i="5"/>
  <c r="D49" i="5"/>
  <c r="G49" i="5" s="1"/>
  <c r="D48" i="5"/>
  <c r="G48" i="5" s="1"/>
  <c r="R46" i="5"/>
  <c r="S46" i="5" s="1"/>
  <c r="P46" i="5"/>
  <c r="O46" i="5"/>
  <c r="D46" i="5"/>
  <c r="G46" i="5" s="1"/>
  <c r="Q44" i="5"/>
  <c r="D44" i="5"/>
  <c r="I44" i="5" s="1"/>
  <c r="Q40" i="5"/>
  <c r="R40" i="5" s="1"/>
  <c r="S39" i="5"/>
  <c r="T39" i="5" s="1"/>
  <c r="D39" i="5"/>
  <c r="G39" i="5" s="1"/>
  <c r="S38" i="5"/>
  <c r="T38" i="5" s="1"/>
  <c r="D38" i="5"/>
  <c r="I38" i="5" s="1"/>
  <c r="S37" i="5"/>
  <c r="T37" i="5" s="1"/>
  <c r="D37" i="5"/>
  <c r="G37" i="5" s="1"/>
  <c r="D36" i="5"/>
  <c r="G36" i="5" s="1"/>
  <c r="O35" i="5"/>
  <c r="P35" i="5" s="1"/>
  <c r="D35" i="5"/>
  <c r="I35" i="5" s="1"/>
  <c r="O34" i="5"/>
  <c r="D34" i="5"/>
  <c r="I34" i="5" s="1"/>
  <c r="O33" i="5"/>
  <c r="D33" i="5"/>
  <c r="G33" i="5" s="1"/>
  <c r="S31" i="5"/>
  <c r="Q31" i="5"/>
  <c r="T31" i="5" s="1"/>
  <c r="D31" i="5"/>
  <c r="I31" i="5" s="1"/>
  <c r="D30" i="5"/>
  <c r="I30" i="5" s="1"/>
  <c r="D29" i="5"/>
  <c r="I29" i="5" s="1"/>
  <c r="S28" i="5"/>
  <c r="Q28" i="5"/>
  <c r="T28" i="5" s="1"/>
  <c r="D28" i="5"/>
  <c r="I28" i="5" s="1"/>
  <c r="L25" i="5"/>
  <c r="L26" i="5" s="1"/>
  <c r="D26" i="5" s="1"/>
  <c r="W24" i="5"/>
  <c r="T24" i="5"/>
  <c r="U24" i="5" s="1"/>
  <c r="Q24" i="5"/>
  <c r="R24" i="5" s="1"/>
  <c r="D24" i="5"/>
  <c r="I24" i="5" s="1"/>
  <c r="D23" i="5"/>
  <c r="I23" i="5" s="1"/>
  <c r="D22" i="5"/>
  <c r="I22" i="5" s="1"/>
  <c r="D21" i="5"/>
  <c r="I21" i="5" s="1"/>
  <c r="P20" i="5"/>
  <c r="Q20" i="5" s="1"/>
  <c r="D20" i="5"/>
  <c r="G20" i="5" s="1"/>
  <c r="S19" i="5"/>
  <c r="V19" i="5" s="1"/>
  <c r="W19" i="5" s="1"/>
  <c r="X19" i="5" s="1"/>
  <c r="G34" i="5" l="1"/>
  <c r="J34" i="5" s="1"/>
  <c r="G21" i="5"/>
  <c r="I55" i="5"/>
  <c r="J55" i="5" s="1"/>
  <c r="I48" i="5"/>
  <c r="J48" i="5" s="1"/>
  <c r="G50" i="5"/>
  <c r="I54" i="5"/>
  <c r="I60" i="5" s="1"/>
  <c r="I39" i="5"/>
  <c r="J39" i="5" s="1"/>
  <c r="I46" i="5"/>
  <c r="J46" i="5" s="1"/>
  <c r="L68" i="5"/>
  <c r="L70" i="5" s="1"/>
  <c r="J50" i="5"/>
  <c r="G22" i="5"/>
  <c r="G29" i="5"/>
  <c r="J29" i="5" s="1"/>
  <c r="G31" i="5"/>
  <c r="I33" i="5"/>
  <c r="J33" i="5" s="1"/>
  <c r="I36" i="5"/>
  <c r="J36" i="5" s="1"/>
  <c r="G57" i="5"/>
  <c r="J57" i="5" s="1"/>
  <c r="G58" i="5"/>
  <c r="J58" i="5" s="1"/>
  <c r="J62" i="5"/>
  <c r="J63" i="5" s="1"/>
  <c r="P42" i="5" s="1"/>
  <c r="D25" i="5"/>
  <c r="G25" i="5" s="1"/>
  <c r="G30" i="5"/>
  <c r="J30" i="5" s="1"/>
  <c r="I37" i="5"/>
  <c r="J37" i="5" s="1"/>
  <c r="G59" i="5"/>
  <c r="J59" i="5" s="1"/>
  <c r="J72" i="5"/>
  <c r="J68" i="5"/>
  <c r="J66" i="5"/>
  <c r="J69" i="5"/>
  <c r="J67" i="5"/>
  <c r="I75" i="5"/>
  <c r="I26" i="5"/>
  <c r="G26" i="5"/>
  <c r="J22" i="5"/>
  <c r="O22" i="5" s="1"/>
  <c r="J31" i="5"/>
  <c r="J21" i="5"/>
  <c r="I20" i="5"/>
  <c r="I25" i="5"/>
  <c r="L27" i="5"/>
  <c r="D27" i="5" s="1"/>
  <c r="I49" i="5"/>
  <c r="J49" i="5" s="1"/>
  <c r="G63" i="5"/>
  <c r="G75" i="5"/>
  <c r="G23" i="5"/>
  <c r="J23" i="5" s="1"/>
  <c r="G24" i="5"/>
  <c r="J24" i="5" s="1"/>
  <c r="G28" i="5"/>
  <c r="J28" i="5" s="1"/>
  <c r="G35" i="5"/>
  <c r="J35" i="5" s="1"/>
  <c r="G38" i="5"/>
  <c r="J38" i="5" s="1"/>
  <c r="G44" i="5"/>
  <c r="D44" i="3"/>
  <c r="I44" i="3" s="1"/>
  <c r="D60" i="3"/>
  <c r="G60" i="3" s="1"/>
  <c r="D62" i="3"/>
  <c r="I62" i="3" s="1"/>
  <c r="D63" i="3"/>
  <c r="G63" i="3" s="1"/>
  <c r="D64" i="3"/>
  <c r="G64" i="3" s="1"/>
  <c r="D59" i="3"/>
  <c r="G59" i="3" s="1"/>
  <c r="D51" i="3"/>
  <c r="I51" i="3" s="1"/>
  <c r="D53" i="3"/>
  <c r="G53" i="3" s="1"/>
  <c r="D54" i="3"/>
  <c r="G54" i="3" s="1"/>
  <c r="D55" i="3"/>
  <c r="I55" i="3" s="1"/>
  <c r="D49" i="3"/>
  <c r="I49" i="3" s="1"/>
  <c r="I26" i="3"/>
  <c r="I27" i="3"/>
  <c r="D28" i="3"/>
  <c r="I28" i="3" s="1"/>
  <c r="G29" i="3"/>
  <c r="I33" i="3"/>
  <c r="G34" i="3"/>
  <c r="G35" i="3"/>
  <c r="G36" i="3"/>
  <c r="D38" i="3"/>
  <c r="I38" i="3" s="1"/>
  <c r="D39" i="3"/>
  <c r="G39" i="3" s="1"/>
  <c r="D40" i="3"/>
  <c r="G40" i="3" s="1"/>
  <c r="D41" i="3"/>
  <c r="I41" i="3" s="1"/>
  <c r="D42" i="3"/>
  <c r="G42" i="3" s="1"/>
  <c r="D43" i="3"/>
  <c r="G43" i="3" s="1"/>
  <c r="G25" i="3"/>
  <c r="L78" i="3"/>
  <c r="I78" i="3" s="1"/>
  <c r="L75" i="3"/>
  <c r="L74" i="3" s="1"/>
  <c r="L76" i="3" s="1"/>
  <c r="L73" i="3"/>
  <c r="G73" i="3" s="1"/>
  <c r="L72" i="3"/>
  <c r="L67" i="3"/>
  <c r="I67" i="3" s="1"/>
  <c r="I68" i="3" s="1"/>
  <c r="L30" i="3"/>
  <c r="L32" i="3" s="1"/>
  <c r="I141" i="3"/>
  <c r="J141" i="3" s="1"/>
  <c r="O141" i="3" s="1"/>
  <c r="E141" i="3"/>
  <c r="I140" i="3"/>
  <c r="J140" i="3" s="1"/>
  <c r="O140" i="3" s="1"/>
  <c r="E140" i="3"/>
  <c r="I139" i="3"/>
  <c r="J139" i="3" s="1"/>
  <c r="O139" i="3" s="1"/>
  <c r="E139" i="3"/>
  <c r="I138" i="3"/>
  <c r="J138" i="3" s="1"/>
  <c r="O138" i="3" s="1"/>
  <c r="E138" i="3"/>
  <c r="Q68" i="3"/>
  <c r="P68" i="3"/>
  <c r="T67" i="3"/>
  <c r="S67" i="3"/>
  <c r="P64" i="3"/>
  <c r="R62" i="3"/>
  <c r="R60" i="3"/>
  <c r="S60" i="3" s="1"/>
  <c r="P60" i="3"/>
  <c r="R54" i="3"/>
  <c r="R51" i="3"/>
  <c r="S51" i="3" s="1"/>
  <c r="P51" i="3"/>
  <c r="O51" i="3"/>
  <c r="Q49" i="3"/>
  <c r="Q45" i="3"/>
  <c r="R45" i="3" s="1"/>
  <c r="S44" i="3"/>
  <c r="T44" i="3" s="1"/>
  <c r="S43" i="3"/>
  <c r="T43" i="3" s="1"/>
  <c r="S42" i="3"/>
  <c r="T42" i="3" s="1"/>
  <c r="O40" i="3"/>
  <c r="P40" i="3" s="1"/>
  <c r="O39" i="3"/>
  <c r="O38" i="3"/>
  <c r="S36" i="3"/>
  <c r="Q36" i="3"/>
  <c r="S33" i="3"/>
  <c r="Q33" i="3"/>
  <c r="W29" i="3"/>
  <c r="T29" i="3"/>
  <c r="U29" i="3" s="1"/>
  <c r="Q29" i="3"/>
  <c r="R29" i="3" s="1"/>
  <c r="P25" i="3"/>
  <c r="Q25" i="3" s="1"/>
  <c r="S24" i="3"/>
  <c r="V24" i="3" s="1"/>
  <c r="W24" i="3" s="1"/>
  <c r="X24" i="3" s="1"/>
  <c r="J13" i="5" l="1"/>
  <c r="O63" i="5"/>
  <c r="J25" i="5"/>
  <c r="J54" i="5"/>
  <c r="J60" i="5" s="1"/>
  <c r="G60" i="5"/>
  <c r="I54" i="3"/>
  <c r="G33" i="3"/>
  <c r="J33" i="3" s="1"/>
  <c r="T33" i="3"/>
  <c r="G27" i="3"/>
  <c r="J27" i="3" s="1"/>
  <c r="O27" i="3" s="1"/>
  <c r="J75" i="5"/>
  <c r="J14" i="5" s="1"/>
  <c r="O75" i="5"/>
  <c r="G51" i="5"/>
  <c r="J44" i="5"/>
  <c r="J51" i="5" s="1"/>
  <c r="J42" i="5" s="1"/>
  <c r="J11" i="5" s="1"/>
  <c r="J20" i="5"/>
  <c r="I51" i="5"/>
  <c r="J26" i="5"/>
  <c r="G27" i="5"/>
  <c r="G41" i="5" s="1"/>
  <c r="I27" i="5"/>
  <c r="I41" i="5" s="1"/>
  <c r="I43" i="3"/>
  <c r="J43" i="3" s="1"/>
  <c r="I39" i="3"/>
  <c r="J39" i="3" s="1"/>
  <c r="I63" i="3"/>
  <c r="I53" i="3"/>
  <c r="J53" i="3" s="1"/>
  <c r="G44" i="3"/>
  <c r="J44" i="3" s="1"/>
  <c r="I40" i="3"/>
  <c r="J40" i="3" s="1"/>
  <c r="S68" i="3"/>
  <c r="T68" i="3" s="1"/>
  <c r="I35" i="3"/>
  <c r="J35" i="3" s="1"/>
  <c r="I36" i="3"/>
  <c r="J36" i="3" s="1"/>
  <c r="G62" i="3"/>
  <c r="J62" i="3" s="1"/>
  <c r="G75" i="3"/>
  <c r="I25" i="3"/>
  <c r="J25" i="3" s="1"/>
  <c r="G28" i="3"/>
  <c r="J28" i="3" s="1"/>
  <c r="G41" i="3"/>
  <c r="J41" i="3" s="1"/>
  <c r="G78" i="3"/>
  <c r="J78" i="3" s="1"/>
  <c r="I29" i="3"/>
  <c r="J29" i="3" s="1"/>
  <c r="G51" i="3"/>
  <c r="J51" i="3" s="1"/>
  <c r="I73" i="3"/>
  <c r="J73" i="3" s="1"/>
  <c r="I64" i="3"/>
  <c r="J64" i="3" s="1"/>
  <c r="G55" i="3"/>
  <c r="J55" i="3" s="1"/>
  <c r="I72" i="3"/>
  <c r="G72" i="3"/>
  <c r="U67" i="3"/>
  <c r="G30" i="3"/>
  <c r="T36" i="3"/>
  <c r="I42" i="3"/>
  <c r="J42" i="3" s="1"/>
  <c r="I60" i="3"/>
  <c r="J60" i="3" s="1"/>
  <c r="G67" i="3"/>
  <c r="G68" i="3" s="1"/>
  <c r="I34" i="3"/>
  <c r="J34" i="3" s="1"/>
  <c r="G38" i="3"/>
  <c r="J38" i="3" s="1"/>
  <c r="G49" i="3"/>
  <c r="J49" i="3" s="1"/>
  <c r="I59" i="3"/>
  <c r="G26" i="3"/>
  <c r="J26" i="3" s="1"/>
  <c r="J54" i="3"/>
  <c r="J63" i="3"/>
  <c r="L31" i="3"/>
  <c r="D31" i="3" s="1"/>
  <c r="L77" i="3"/>
  <c r="I77" i="3" s="1"/>
  <c r="I76" i="3"/>
  <c r="G76" i="3"/>
  <c r="J12" i="5" l="1"/>
  <c r="O60" i="5"/>
  <c r="I56" i="3"/>
  <c r="O51" i="5"/>
  <c r="J27" i="5"/>
  <c r="J41" i="5" s="1"/>
  <c r="I30" i="3"/>
  <c r="J30" i="3" s="1"/>
  <c r="J76" i="3"/>
  <c r="I75" i="3"/>
  <c r="J75" i="3" s="1"/>
  <c r="G65" i="3"/>
  <c r="J72" i="3"/>
  <c r="G77" i="3"/>
  <c r="J77" i="3" s="1"/>
  <c r="I65" i="3"/>
  <c r="I74" i="3"/>
  <c r="G74" i="3"/>
  <c r="G56" i="3"/>
  <c r="J67" i="3"/>
  <c r="J68" i="3" s="1"/>
  <c r="J13" i="3" s="1"/>
  <c r="J59" i="3"/>
  <c r="J65" i="3" s="1"/>
  <c r="J12" i="3" s="1"/>
  <c r="J56" i="3"/>
  <c r="J47" i="3" s="1"/>
  <c r="J11" i="3" s="1"/>
  <c r="G32" i="3"/>
  <c r="I32" i="3"/>
  <c r="G31" i="3"/>
  <c r="I31" i="3"/>
  <c r="J19" i="5" l="1"/>
  <c r="J10" i="5" s="1"/>
  <c r="J16" i="5" s="1"/>
  <c r="J18" i="5" s="1"/>
  <c r="J14" i="6" s="1"/>
  <c r="O41" i="5"/>
  <c r="J74" i="3"/>
  <c r="J91" i="3" s="1"/>
  <c r="J14" i="3" s="1"/>
  <c r="I91" i="3"/>
  <c r="P47" i="3"/>
  <c r="G91" i="3"/>
  <c r="O68" i="3"/>
  <c r="O56" i="3"/>
  <c r="I46" i="3"/>
  <c r="O65" i="3"/>
  <c r="J32" i="3"/>
  <c r="J31" i="3"/>
  <c r="G46" i="3"/>
  <c r="W15" i="6" l="1"/>
  <c r="P14" i="6"/>
  <c r="J10" i="3"/>
  <c r="J23" i="3" s="1"/>
  <c r="O91" i="3"/>
  <c r="P24" i="6" l="1"/>
  <c r="P25" i="6" s="1"/>
  <c r="W14" i="6"/>
  <c r="W16" i="6" s="1"/>
  <c r="O46" i="3"/>
  <c r="J12" i="4"/>
  <c r="I27" i="6" l="1"/>
  <c r="G25" i="6"/>
  <c r="Y13" i="6"/>
  <c r="Y16" i="6" s="1"/>
  <c r="P12" i="4"/>
  <c r="W13" i="4"/>
  <c r="P22" i="4" l="1"/>
  <c r="P23" i="4" s="1"/>
  <c r="W12" i="4"/>
  <c r="W14" i="4" s="1"/>
  <c r="C23" i="4" l="1"/>
  <c r="Y11" i="4"/>
  <c r="Y14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Mr.KKD</author>
    <author>XP</author>
    <author>WincoolV5</author>
  </authors>
  <commentList>
    <comment ref="D32" authorId="0" shapeId="0" xr:uid="{00000000-0006-0000-0200-000001000000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L32" authorId="0" shapeId="0" xr:uid="{00000000-0006-0000-0200-000002000000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D36" authorId="0" shapeId="0" xr:uid="{00000000-0006-0000-0200-000003000000}">
      <text>
        <r>
          <rPr>
            <sz val="8"/>
            <color indexed="81"/>
            <rFont val="Tahoma"/>
            <family val="2"/>
          </rPr>
          <t xml:space="preserve">ลวดผูกเหล็ก คิด 30 กก./นน.เหล้กเสริม 1,000 กก.
</t>
        </r>
      </text>
    </comment>
    <comment ref="L36" authorId="0" shapeId="0" xr:uid="{00000000-0006-0000-0200-000004000000}">
      <text>
        <r>
          <rPr>
            <sz val="8"/>
            <color indexed="81"/>
            <rFont val="Tahoma"/>
            <family val="2"/>
          </rPr>
          <t xml:space="preserve">ลวดผูกเหล็ก คิด 30 กก./นน.เหล้กเสริม 1,000 กก.
</t>
        </r>
      </text>
    </comment>
    <comment ref="B53" authorId="1" shapeId="0" xr:uid="{00000000-0006-0000-0200-000005000000}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75" authorId="2" shapeId="0" xr:uid="{00000000-0006-0000-0200-000006000000}">
      <text>
        <r>
          <rPr>
            <b/>
            <sz val="9"/>
            <color indexed="81"/>
            <rFont val="Tahoma"/>
            <family val="2"/>
          </rPr>
          <t>คิดเต็ม</t>
        </r>
      </text>
    </comment>
    <comment ref="L75" authorId="2" shapeId="0" xr:uid="{00000000-0006-0000-0200-000007000000}">
      <text>
        <r>
          <rPr>
            <b/>
            <sz val="9"/>
            <color indexed="81"/>
            <rFont val="Tahoma"/>
            <family val="2"/>
          </rPr>
          <t>คิดเต็ม</t>
        </r>
      </text>
    </comment>
    <comment ref="D77" authorId="0" shapeId="0" xr:uid="{00000000-0006-0000-0200-000008000000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L77" authorId="0" shapeId="0" xr:uid="{00000000-0006-0000-0200-000009000000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D102" authorId="0" shapeId="0" xr:uid="{9BE610EA-FFD5-468A-ABA3-37185B802F35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D109" authorId="0" shapeId="0" xr:uid="{5D473C80-F9F9-4680-932E-7453A6F4A8FC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L109" authorId="0" shapeId="0" xr:uid="{8EC8B352-9C68-40D2-B61C-3B45CB5D05D1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Mr.KKD</author>
    <author>XP</author>
    <author>WincoolV5</author>
  </authors>
  <commentList>
    <comment ref="D27" authorId="0" shapeId="0" xr:uid="{8AEBF7E5-5E96-4C4E-AA5B-674481B810C1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L27" authorId="0" shapeId="0" xr:uid="{077F64F6-DF62-4574-8B52-D8EC08C0F81E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D31" authorId="0" shapeId="0" xr:uid="{C1BDD5FA-04B4-4A4C-B9FC-25B69F0A467D}">
      <text>
        <r>
          <rPr>
            <sz val="8"/>
            <color indexed="81"/>
            <rFont val="Tahoma"/>
            <family val="2"/>
          </rPr>
          <t xml:space="preserve">ลวดผูกเหล็ก คิด 30 กก./นน.เหล้กเสริม 1,000 กก.
</t>
        </r>
      </text>
    </comment>
    <comment ref="L31" authorId="0" shapeId="0" xr:uid="{A15D0260-B5DA-4027-9FDD-D7EB24B68F49}">
      <text>
        <r>
          <rPr>
            <sz val="8"/>
            <color indexed="81"/>
            <rFont val="Tahoma"/>
            <family val="2"/>
          </rPr>
          <t xml:space="preserve">ลวดผูกเหล็ก คิด 30 กก./นน.เหล้กเสริม 1,000 กก.
</t>
        </r>
      </text>
    </comment>
    <comment ref="B48" authorId="1" shapeId="0" xr:uid="{0D43B719-DA28-4849-989B-7B55BEDE8973}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69" authorId="2" shapeId="0" xr:uid="{056348C0-856C-4799-9E93-E3E944D4E5F6}">
      <text>
        <r>
          <rPr>
            <b/>
            <sz val="9"/>
            <color indexed="81"/>
            <rFont val="Tahoma"/>
            <family val="2"/>
          </rPr>
          <t>คิดเต็ม</t>
        </r>
      </text>
    </comment>
    <comment ref="L69" authorId="2" shapeId="0" xr:uid="{0D67AB33-4C9C-46C0-9242-3C5C7A95D83C}">
      <text>
        <r>
          <rPr>
            <b/>
            <sz val="9"/>
            <color indexed="81"/>
            <rFont val="Tahoma"/>
            <family val="2"/>
          </rPr>
          <t>คิดเต็ม</t>
        </r>
      </text>
    </comment>
    <comment ref="D71" authorId="0" shapeId="0" xr:uid="{E2121FEA-15DE-4167-ABEB-E0C4F04A6122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  <comment ref="L71" authorId="0" shapeId="0" xr:uid="{5C937F24-6199-44DE-A03A-DB0C54399A4E}">
      <text>
        <r>
          <rPr>
            <sz val="8"/>
            <color indexed="81"/>
            <rFont val="Tahoma"/>
            <family val="2"/>
          </rPr>
          <t xml:space="preserve">คิด 0.25 กก. / ค่าแรงแบบหล่อคอนกรีต 1 ตร.ม.
</t>
        </r>
      </text>
    </comment>
  </commentList>
</comments>
</file>

<file path=xl/sharedStrings.xml><?xml version="1.0" encoding="utf-8"?>
<sst xmlns="http://schemas.openxmlformats.org/spreadsheetml/2006/main" count="549" uniqueCount="225">
  <si>
    <t xml:space="preserve">                                        </t>
  </si>
  <si>
    <t>ลำดับที่</t>
  </si>
  <si>
    <t>รายการ</t>
  </si>
  <si>
    <t>จำนวน</t>
  </si>
  <si>
    <t>หน่วย</t>
  </si>
  <si>
    <t>ค่าวัสดุ</t>
  </si>
  <si>
    <t>ค่าแรงงาน</t>
  </si>
  <si>
    <t>รวม</t>
  </si>
  <si>
    <t>หมายเหตุ</t>
  </si>
  <si>
    <t>ราคาหน่วยละ</t>
  </si>
  <si>
    <t>จำนวนเงิน</t>
  </si>
  <si>
    <t>ค่าวัสดุและแรงงาน</t>
  </si>
  <si>
    <t>สรุปงานก่อสร้าง</t>
  </si>
  <si>
    <t>บาท</t>
  </si>
  <si>
    <t xml:space="preserve">รวมหมวดงานโรงจอดรถ </t>
  </si>
  <si>
    <t>หลัง</t>
  </si>
  <si>
    <t>ค่าของ</t>
  </si>
  <si>
    <t>ค่าแรง</t>
  </si>
  <si>
    <t>จำนวนฐานราก</t>
  </si>
  <si>
    <t>ชุด</t>
  </si>
  <si>
    <t>กว้าง 0.75 ยาว 2.20 หนา 0.15 ม.</t>
  </si>
  <si>
    <t>จำนวน ฐานราก 5</t>
  </si>
  <si>
    <t>เทคอนกรีตทับกลบฐานราก</t>
  </si>
  <si>
    <t>- ดินขุดถมกลับฐานราก</t>
  </si>
  <si>
    <t>ลบ.ม.</t>
  </si>
  <si>
    <t>- ทรายหยาบราดน้ำอัดแน่น รองใต้ฐานราก</t>
  </si>
  <si>
    <t>- คอนกรีตหยาบ 1 : 3 : 5  รองใต้ฐานราก</t>
  </si>
  <si>
    <t xml:space="preserve">- คอนกรีตโครงสร้าง ( fc' = 240 ksc. ทรงลูกบาศก์ )  </t>
  </si>
  <si>
    <t>- ไม้แบบหล่อคอนกรีต</t>
  </si>
  <si>
    <t>ตร.ม.</t>
  </si>
  <si>
    <t xml:space="preserve">       - ใช้ไม้ทำแบบ (คิด 50 %)</t>
  </si>
  <si>
    <t>ดินขุดถมกลับฐานราก</t>
  </si>
  <si>
    <t>กว้าง*ยาว*ลึก</t>
  </si>
  <si>
    <t>เผื่อ 30%</t>
  </si>
  <si>
    <t>ทรายหยาบรองพื้น 10 cm.</t>
  </si>
  <si>
    <t>เผื่อ 25%</t>
  </si>
  <si>
    <t>คอนกรีตหยาบ 5 cm.</t>
  </si>
  <si>
    <t xml:space="preserve">       - ไม้เคร่า (คิด 30%  ของไม้แบบ)</t>
  </si>
  <si>
    <t>ลบ.ฟ.</t>
  </si>
  <si>
    <t xml:space="preserve">       - ตะปู</t>
  </si>
  <si>
    <t>กก.</t>
  </si>
  <si>
    <t>คอนกรีตฐานราก</t>
  </si>
  <si>
    <t>กว้าง*ยาว*หนา</t>
  </si>
  <si>
    <t>คอนกรีตเสาตอม่อ</t>
  </si>
  <si>
    <t>รวมคอนกรีต</t>
  </si>
  <si>
    <t>แบบหล่อคอนกรีต</t>
  </si>
  <si>
    <t>ฐานราก</t>
  </si>
  <si>
    <t>ความยาวรอบรูป*หนา</t>
  </si>
  <si>
    <t>เสาตอม่อ</t>
  </si>
  <si>
    <t>รวมแบบหล่อ</t>
  </si>
  <si>
    <t>- ลวดผูกเหล็ก</t>
  </si>
  <si>
    <t xml:space="preserve"> - งานเหล็กรูปพรรณ</t>
  </si>
  <si>
    <t xml:space="preserve">       - ท่อเหล็กกลมผิวดำ ø 3.5 นิ้ว (101.6 มม.) หนา 3.2 มม. </t>
  </si>
  <si>
    <t>รวมลวดเชื่อม</t>
  </si>
  <si>
    <t xml:space="preserve">       - ท่อเหล็กกลมผิวดำ ø 2 นิ้ว (60.5 มม.)หนา 3.2 มม. </t>
  </si>
  <si>
    <t xml:space="preserve">       - ท่อเหล็กกลมผิวดำ ø 1 นิ้ว (34.00 มม.)หนา 2.3 มม. </t>
  </si>
  <si>
    <t>ราคาใกล้เคียง กทม.</t>
  </si>
  <si>
    <t>แผ่น</t>
  </si>
  <si>
    <t>ความยาว ท่อนละ 6.00 เมตร</t>
  </si>
  <si>
    <t>ราคาจาก http://www.onestockhome.com/Default.aspx?pageid=130</t>
  </si>
  <si>
    <t xml:space="preserve"> - ทาสีน้ำมันทาเหล็ก เบอร์สีระบุภายหลัง</t>
  </si>
  <si>
    <t>7.76 กก. / เมตร</t>
  </si>
  <si>
    <t>46.56 กก. / ท่อน</t>
  </si>
  <si>
    <t xml:space="preserve"> - ทาสีเหล็กกันสนิม </t>
  </si>
  <si>
    <t>4.52 กก. / เมตร</t>
  </si>
  <si>
    <t>27.12 กก. / ท่อน</t>
  </si>
  <si>
    <t xml:space="preserve"> - งานทาสีน้ำอะครีลิคทาภายนอก เบอร์สีระบุภายหลัง</t>
  </si>
  <si>
    <t>1.80 กก. / เมตร</t>
  </si>
  <si>
    <t>10.80 กก. / ท่อน</t>
  </si>
  <si>
    <t>รวมราคางานชุดโครงถักพร้อมชุดฐานรากและตอม่อต่อ 1 ชุด</t>
  </si>
  <si>
    <t>ช่วง</t>
  </si>
  <si>
    <t>- งานเหล็กเสริมกันโก่ง</t>
  </si>
  <si>
    <t xml:space="preserve"> เหล็ก SR - 24  Dia  15  มม. หนัก 1.39 กก/ม.</t>
  </si>
  <si>
    <t>ท่อน ละ 29.50 กก. ยาว 6 เมตร</t>
  </si>
  <si>
    <t>4.92  kg / เมตร  (29.50 kg / ท่อน)</t>
  </si>
  <si>
    <t>รวมค่าจัดส่ง 1.3</t>
  </si>
  <si>
    <t>ราคา กก. / เมตร</t>
  </si>
  <si>
    <t>กทม. ราคา ท่อนละ 530</t>
  </si>
  <si>
    <t xml:space="preserve"> - งานหลังคา</t>
  </si>
  <si>
    <t xml:space="preserve">       - แผ่นเหล็กรีดลอน หนาไม่น้อยกว่า 0.35 มม.</t>
  </si>
  <si>
    <t>หลังคา 1 ช่อง ยาว</t>
  </si>
  <si>
    <t>รวม ตร.ม.</t>
  </si>
  <si>
    <t>หลังคา 1 ช่อง กว้าง เผื่อระยะซ้อนทับ</t>
  </si>
  <si>
    <t>รวมราคางานช่องจอดรถต่อ 1 ช่อง เป็นเงิน</t>
  </si>
  <si>
    <t>จันทันเหล็กตัวซี 150x 50 x 20 x 2.3 มม. ยาว 25 ม.</t>
  </si>
  <si>
    <t xml:space="preserve">       - ปิดปลายท่อ หัว - ท้ายแป ด้วยเหล็กแผ่น หนา 3.2 มม. </t>
  </si>
  <si>
    <t>หลังคา 1 ช่อง กว้าง</t>
  </si>
  <si>
    <t>รวมราคางานชายคาด้านข้าง ทั้ง 2 ข้าง เป็นเงิน</t>
  </si>
  <si>
    <t>ยาว ตรงกลาง</t>
  </si>
  <si>
    <t>ยาว ตรงฐาน</t>
  </si>
  <si>
    <t>จำนวนตรงกลาง</t>
  </si>
  <si>
    <t>จำนวน ตรงฐาน</t>
  </si>
  <si>
    <t>งานทาสีถนน กว้าง 0.10 เมตร</t>
  </si>
  <si>
    <t xml:space="preserve"> - งานทาสีแบ่งช่องลานจอดรถ ขนาดกว้าง 0.10 (สีขาว) ตามมาตราฐาน ทช.</t>
  </si>
  <si>
    <t>รวมราคางานทาสีแบ่งช่องลานจอดรถและเสาตอม่อ เป็นเงิน</t>
  </si>
  <si>
    <t>งานพื้นลานจอดรถคอนกรีตเสริมเหล็ก (หนา 15 ซม.)</t>
  </si>
  <si>
    <t xml:space="preserve">         - ทรายหยาบรองพื้นปรับระดับ  หนา 0.10 ม.</t>
  </si>
  <si>
    <t xml:space="preserve">         - คอนกรีตโครงสร้าง ( fc' = 240 ksc. ทรงลูกบาศก์ )  </t>
  </si>
  <si>
    <t>แบบหล่อคอนกรีต (คิด 100 %)</t>
  </si>
  <si>
    <t xml:space="preserve">       - ค่าแรงแบบหล่อ (คิด 100 %)</t>
  </si>
  <si>
    <t xml:space="preserve">       - ไม้เคร่า</t>
  </si>
  <si>
    <t>กทม.</t>
  </si>
  <si>
    <t xml:space="preserve">รวมหมวดงานลานจอดรถคอนกรีตเสริมเหล็ก </t>
  </si>
  <si>
    <t>งาน</t>
  </si>
  <si>
    <r>
      <t> </t>
    </r>
    <r>
      <rPr>
        <b/>
        <sz val="14"/>
        <color rgb="FFFFFFFF"/>
        <rFont val="Arial"/>
        <family val="2"/>
      </rPr>
      <t>ประเภท                     ขนาด</t>
    </r>
  </si>
  <si>
    <t>นน.</t>
  </si>
  <si>
    <t> ราคาต่อเส้น (รับหน้าโรงงาน มอก. 5 ก.ย.60 ราคาไม่ยืน)+7%</t>
  </si>
  <si>
    <t>ท่อกลม มอก. 107-2533 - 1 นิ้ว 25มม. หนา 2.3มม. นน.10.81+-กก. HS41</t>
  </si>
  <si>
    <t>ท่อกลม มอก. 107-2533 - 2นิ้ว 50มม. หนา 3.2มม. นน. 27.16+-กก. HS41</t>
  </si>
  <si>
    <t>ท่อกลม มอก. 107-2533 - 3-1/2นิ้ว 90มม. หนา 3.2มม. นน. 46.62+-กก. HS41</t>
  </si>
  <si>
    <t> ขนาด 150 x 50 x 20 x 3.2 มม. ยาว 6 เมตร นน. 40.3 กก./ท่อน</t>
  </si>
  <si>
    <t>สรุปผลการประมาณราคาค่าก่อสร้าง</t>
  </si>
  <si>
    <t>ปร.5</t>
  </si>
  <si>
    <t>ประเภท</t>
  </si>
  <si>
    <t>เจ้าของโครงการ</t>
  </si>
  <si>
    <t>ที่ทำการปกครองจังหวัดอำนาจเจริญ</t>
  </si>
  <si>
    <t>สถานที่ก่อสร้าง</t>
  </si>
  <si>
    <t xml:space="preserve">ภายในกองร้อยอาสารักษาดินแดนจังหวัดอำนาจเจริญ ที่ 1 ตำบลบุ่ง อำเภอเมืองอำนาจเจริญ </t>
  </si>
  <si>
    <t>จังหวัดอำนาจเจริญ</t>
  </si>
  <si>
    <t>หน่วยงานออกแบบฯ</t>
  </si>
  <si>
    <t>สำนักงานโยธาธิการและผังเมืองจังหวัดอำนาจเจริญ</t>
  </si>
  <si>
    <t>แบบเลขที่</t>
  </si>
  <si>
    <t>ประมาณราคาตามแบบ ปร.4</t>
  </si>
  <si>
    <t>ค่าวัสดุและค่าแรงงาน</t>
  </si>
  <si>
    <t>FACTOR F</t>
  </si>
  <si>
    <t>ราคาค่าก่อสร้าง</t>
  </si>
  <si>
    <t>จำนวนเงิน / บาท</t>
  </si>
  <si>
    <t>เป็นนเงิน / บาท</t>
  </si>
  <si>
    <t>ประเภทงานอาคาร</t>
  </si>
  <si>
    <t>เงื่อนไข</t>
  </si>
  <si>
    <t>เงินล่วงหน้าจ่าย</t>
  </si>
  <si>
    <t>เงินประกันผลงานหัก</t>
  </si>
  <si>
    <t>ดอกเบี้ยเงินกู้</t>
  </si>
  <si>
    <t>ค่าภาษีมูลค่าเพิ่ม</t>
  </si>
  <si>
    <t>สรุป</t>
  </si>
  <si>
    <t>รวมค่าก่อสร้างเป็นเงินทั้งสิ้น</t>
  </si>
  <si>
    <t>คิดเป็นเงินประมาณ</t>
  </si>
  <si>
    <t xml:space="preserve"> **</t>
  </si>
  <si>
    <t>*  ขนาดหรือเนื้อที่อาคาร               ≈</t>
  </si>
  <si>
    <t>ตารางเมตร</t>
  </si>
  <si>
    <t>*  เฉลี่ยราคาประมาณ</t>
  </si>
  <si>
    <t>บาท/ตารางเมตร</t>
  </si>
  <si>
    <t>.......………………………...............................….................…</t>
  </si>
  <si>
    <t>(นายทศพล  ดีโนนงิ้ว)</t>
  </si>
  <si>
    <t>วิศกรโยธาชำนาญการ</t>
  </si>
  <si>
    <t>เห็นชอบ</t>
  </si>
  <si>
    <t>นักวิเคราะห์ผังเมืองชำนาญการพิเศษ รักษาราชการแทน</t>
  </si>
  <si>
    <t>โยธาธิการและผังเมืองจังหวัดอำนาจเจริญ</t>
  </si>
  <si>
    <t>ปริมาณเดิม</t>
  </si>
  <si>
    <t xml:space="preserve">       - จันทันเหล็ก C - 150 x 50 x 20 x 3.2 มม.</t>
  </si>
  <si>
    <r>
      <t xml:space="preserve">       -  เหล็ก SR - 24  </t>
    </r>
    <r>
      <rPr>
        <sz val="15"/>
        <rFont val="Browallia New"/>
        <family val="2"/>
      </rPr>
      <t>ø</t>
    </r>
    <r>
      <rPr>
        <sz val="15"/>
        <rFont val="TH SarabunPSK"/>
        <family val="2"/>
      </rPr>
      <t xml:space="preserve">  15  มม.</t>
    </r>
  </si>
  <si>
    <t xml:space="preserve">       - เหล็กแผ่น ขนาด 10 x 10 ซม. หนา 4.5 มม.</t>
  </si>
  <si>
    <t xml:space="preserve">       - จันทันเหล็ก C - 150 x 50 x 20 x 2.3 มม.</t>
  </si>
  <si>
    <t xml:space="preserve">       - เหล็กตะแกรงสำเร็จรูป ขนาด Ø 4 มม. @ 0.20 x 0.20  ม.</t>
  </si>
  <si>
    <t>บัญชีแสดงปริมาณวัสดุและราคา</t>
  </si>
  <si>
    <t>แบบ ปร.4</t>
  </si>
  <si>
    <t xml:space="preserve">สถานที่ก่อสร้าง  :   ภายในกองร้อยอาสารักษาดินแดนจังหวัดอำนาจเจริญ ที่ 1 ตำบลบุ่ง อำเภอเมืองอำนาจเจริญ </t>
  </si>
  <si>
    <t>หน่วยงานเจ้าของโครงการ  :  ที่ทำการปกครองจังหวัดอำนาจเจริญ</t>
  </si>
  <si>
    <t>แบบเลขที่  ยผ.อจ.10/65</t>
  </si>
  <si>
    <t>ยผ.อจ. 10/65</t>
  </si>
  <si>
    <t xml:space="preserve"> โครงการก่อสร้างและปรับปรุงสถานที่ กองร้อยอาสารักษาดินแดนจังหวัดอำนาจเจริญ ที่ 1 </t>
  </si>
  <si>
    <t>(โรงจอดรถยนต์)</t>
  </si>
  <si>
    <t xml:space="preserve"> หมวดงานโรงจอดรถ (3 ช่วงเสา 4 คัน)</t>
  </si>
  <si>
    <t>1.1 งานชุดโครงถักพร้อมชุดฐานรากและตอม่อ</t>
  </si>
  <si>
    <t>1.2 งานชุดช่องจอดรถ จำนวน 2 ช่วง</t>
  </si>
  <si>
    <t>1.3 งานชายคาด้านข้าง ทั้ง 2 ข้าง</t>
  </si>
  <si>
    <t>1.4 งานทาสีแบ่งช่องลานจอดรถ</t>
  </si>
  <si>
    <t xml:space="preserve">1.5 หมวดงานลานจอดรถคอนกรีตเสริมเหล็ก </t>
  </si>
  <si>
    <t>1.2 งานชุดช่องจอดรถ</t>
  </si>
  <si>
    <t>ประมาณราคาเมื่อวันที่  8  เดือน  พฤษภาคม พ.ศ. 2567</t>
  </si>
  <si>
    <t>ผู้ประมาณราคา,ตรวจ</t>
  </si>
  <si>
    <t>(นางสาวเพียรพร  พื้นชมภู)</t>
  </si>
  <si>
    <t xml:space="preserve">ประมาณราคาโดย   :  นายทศพล  ดีโนนงิ้ว  วิศวกรโยธาชำนาญการ                                              </t>
  </si>
  <si>
    <t>ประมาณราคาเมื่อวันที่ 8  พฤษภาคม  2567</t>
  </si>
  <si>
    <t>- งานเหล็กเสริมคอนกรีต SR - 24  Dia  6  มม. EF/IF/BO</t>
  </si>
  <si>
    <t>- งานเหล็กเสริมคอนกรีต SR - 24  Dia  9  มม. EF/IF/BO</t>
  </si>
  <si>
    <t>- งานเหล็กเสริมคอนกรีต SD - 40  Dia  12  มม. EF/IF/BO</t>
  </si>
  <si>
    <t>งานประมาณราคา   :  โรงจอดรถยนต์  ขนาด 14 คัน จำนวน 4 หลัง</t>
  </si>
  <si>
    <t>งานพื้นลานจอดรถคอนกรีตเสริมเหล็ก (หนา 10 ซม.)</t>
  </si>
  <si>
    <t>1.2 งานชุดช่องจอดรถ จำนวน 10 ช่วง</t>
  </si>
  <si>
    <t xml:space="preserve">สถานที่ก่อสร้าง  :   สำนักงานอัยการจังหวัดอำนาจเจริญ อำเภอเมืองอำนาจเจริญ จังหวัดอำนาจเจริญ </t>
  </si>
  <si>
    <t>หน่วยงานเจ้าของโครงการ  :  สำนักงานอัยการจังหวัดอำนาจเจริญ</t>
  </si>
  <si>
    <t>งานประมาณราคา   :  โครงการก่อสร้างโรงจอดรถยนต์  ขนาด 20 คัน จำนวน 1 หลัง</t>
  </si>
  <si>
    <t>ภายในสำนักงานอัยการจังหวัดอำนาจเจริญ อำเภอเมืองอำนาจเจริญ จังหวัดอำนาจเจริญ</t>
  </si>
  <si>
    <t xml:space="preserve">สำนักงานอัยการจังหวัดอำนาจเจริญ </t>
  </si>
  <si>
    <t xml:space="preserve">         - ปรับระดับดินเดิม</t>
  </si>
  <si>
    <t xml:space="preserve">      - งานเหล็กเสริมคอนกรีต SD - 40  Dia  12  มม. </t>
  </si>
  <si>
    <t xml:space="preserve">       -งานกรีดร่องคอนกรีตและหยอดยางตามร่องคอนกรีต</t>
  </si>
  <si>
    <t>เมตร</t>
  </si>
  <si>
    <t xml:space="preserve"> หมวดงานโรงจอดรถ (10 ช่วงเสา 20 คัน)</t>
  </si>
  <si>
    <t xml:space="preserve"> -หมอนคอนกรีตกั้นล้อรถ 150x100x1800 มม.</t>
  </si>
  <si>
    <t>ท่อน</t>
  </si>
  <si>
    <t xml:space="preserve"> -พุกเหล็ก ยึดคอนกรีตกั้นล้อ ขนาด 10 มม.x10 ซม.</t>
  </si>
  <si>
    <t>ชิ้น</t>
  </si>
  <si>
    <t>รวมหมวดงานอื่นๆ(ถ้ามี)</t>
  </si>
  <si>
    <t>แบบเลขที่  ยผ.อจ.12/2568</t>
  </si>
  <si>
    <t>ยผ.อจ. 12/2568</t>
  </si>
  <si>
    <t xml:space="preserve"> - ตู้คอนซูมเมอร์ยูนิต 6 ช่อง และกราวนด์บาร์ (GND) นิวตรอนบาร์ (N bar)</t>
  </si>
  <si>
    <t xml:space="preserve"> - ชุดรางสำเร็จรูป T8 LED 18W 120 CM.</t>
  </si>
  <si>
    <t xml:space="preserve"> - 2-สวิตซ์ไฟฟ้า 16A 220-250V</t>
  </si>
  <si>
    <t xml:space="preserve"> - ปลั๊กไฟฟ้า 2 ช่อง แบบมีกรานด์ พร้อมม่านนิรภัย</t>
  </si>
  <si>
    <t xml:space="preserve"> - สวิตซ์แสงแดด(โฟโต้ สวิตซ์)</t>
  </si>
  <si>
    <t xml:space="preserve"> - ท่อ PVC สีเหลือง3/4" สำหรับร้อยสายไฟ</t>
  </si>
  <si>
    <t xml:space="preserve"> - สายไฟฟ้า VAF-GRD สายแบนแกนคู่ มีกราวด์ ขนาด 2 x 1.5 /1.0 ตร.มม. </t>
  </si>
  <si>
    <t>ต่อจากอาคาร</t>
  </si>
  <si>
    <t xml:space="preserve"> - แรงดัน 300 โวลท์ รวมเชื่อมต่อจากอาคาร</t>
  </si>
  <si>
    <t xml:space="preserve"> - แท่งทองแดงกราวนด์ ทองแดงหุ้ม ยาว 2.40 เมตร รวมสายไฟติดตั้ง</t>
  </si>
  <si>
    <t>Set</t>
  </si>
  <si>
    <t xml:space="preserve"> - Consumables (วัสดุสิ้นเปลือง)</t>
  </si>
  <si>
    <t>รวมหมวดงานไฟฟ้า</t>
  </si>
  <si>
    <t>1.6 หมวดงานไฟฟ้า</t>
  </si>
  <si>
    <t>1.7 หมวดงานอื่นๆ(ถ้ามี)</t>
  </si>
  <si>
    <t xml:space="preserve">1.7 หมวดงานอื่นๆ(ถ้ามี) </t>
  </si>
  <si>
    <t>1.6 หมวดงานไฟฟ้าแสงสว่าง</t>
  </si>
  <si>
    <t>จุด</t>
  </si>
  <si>
    <t xml:space="preserve"> -ค่าทดสอบดิน วิธี BORING TEST</t>
  </si>
  <si>
    <t xml:space="preserve"> -งานดินถมปรับระดับ</t>
  </si>
  <si>
    <t>1.5 หมวดงานลานจอดรถคอนกรีตเสริมเหล็ก ขนาด 60.00x11.00 เมตร</t>
  </si>
  <si>
    <t xml:space="preserve"> - แผ่นเหล็กรีดลอน หนาไม่น้อยกว่า 0.35 มม.</t>
  </si>
  <si>
    <t>ประมาณราคาเมื่อวันที่  18  เดือน  มิถุนายน  พ.ศ.  2568</t>
  </si>
  <si>
    <t xml:space="preserve">โครงการก่อสร้างโรงจอดรถยนต์  ขนาด 20 คัน </t>
  </si>
  <si>
    <t>คณะกรรมการกำหนดราคากลาง ตามคำสั่งสำนักงานอัยการจังหวัดอำนาจเจริญที่ 78/2568 ลงวันที่ 23 พฤษภาคม 2568</t>
  </si>
  <si>
    <t xml:space="preserve">ประมาณราคาโดย   :  คณะกรรมการกำหนดราคากลางตามคำสั่งที่ 78/2568 ลงวันที่ 23 พฤษภาคม 2568                             </t>
  </si>
  <si>
    <t>ประมาณราคาเมื่อวันที่  18 มิถุนายน  2568</t>
  </si>
  <si>
    <r>
      <t> </t>
    </r>
    <r>
      <rPr>
        <b/>
        <sz val="14"/>
        <rFont val="Arial"/>
        <family val="2"/>
      </rPr>
      <t>ประเภท                     ขนาด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</si>
</sst>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87" formatCode="_(* #,##0_);_(* \(#,##0\);_(* &quot;-&quot;??_);_(@_)"/>
    <numFmt numFmtId="188" formatCode="_-* #,##0.00_-;\-* #,##0.00_-;_-* &quot;-&quot;_-;_-@_-"/>
    <numFmt numFmtId="189" formatCode="_(* #,##0.0000_);_(* \(#,##0.0000\);_(* &quot;-&quot;??_);_(@_)"/>
    <numFmt numFmtId="190" formatCode="_(* #,##0.00_);_(* \(#,##0.00\);_(* &quot;-&quot;??_);_(@_)"/>
    <numFmt numFmtId="191" formatCode="_(* #,##0.00000_);_(* \(#,##0.00000\);_(* &quot;-&quot;??_);_(@_)"/>
    <numFmt numFmtId="192" formatCode="_(* #,##0.000_);_(* \(#,##0.000\);_(* &quot;-&quot;??_);_(@_)"/>
    <numFmt numFmtId="193" formatCode="_(* #,##0.0_);_(* \(#,##0.0\);_(* &quot;-&quot;??_);_(@_)"/>
    <numFmt numFmtId="194" formatCode="_(* #,##0.000000_);_(* \(#,##0.000000\);_(* &quot;-&quot;??_);_(@_)"/>
    <numFmt numFmtId="195" formatCode="_(* #,##0.0000000_);_(* \(#,##0.0000000\);_(* &quot;-&quot;??_);_(@_)"/>
    <numFmt numFmtId="196" formatCode="_-* #,##0.000_-;\-* #,##0.000_-;_-* &quot;-&quot;_-;_-@_-"/>
    <numFmt numFmtId="197" formatCode="_(* #,##0_);_(* \(#,##0\);_(* &quot;-&quot;_);_(@_)"/>
    <numFmt numFmtId="198" formatCode="_-[$€-2]* #,##0.00_-;\-[$€-2]* #,##0.00_-;_-[$€-2]* &quot;-&quot;??_-"/>
    <numFmt numFmtId="199" formatCode="&quot;$&quot;#,##0_);[Red]\(&quot;$&quot;#,##0\)"/>
    <numFmt numFmtId="200" formatCode="0.0000"/>
    <numFmt numFmtId="201" formatCode="0.00\ &quot;%&quot;"/>
  </numFmts>
  <fonts count="80">
    <font>
      <sz val="14"/>
      <name val="CordiaUPC"/>
    </font>
    <font>
      <sz val="11"/>
      <color theme="1"/>
      <name val="Tahoma"/>
      <family val="2"/>
      <charset val="222"/>
      <scheme val="minor"/>
    </font>
    <font>
      <sz val="14"/>
      <name val="Cordia New"/>
      <family val="2"/>
    </font>
    <font>
      <sz val="16"/>
      <name val="TH SarabunPSK"/>
      <family val="2"/>
    </font>
    <font>
      <sz val="14"/>
      <name val="Angsana New"/>
      <family val="1"/>
      <charset val="222"/>
    </font>
    <font>
      <sz val="14"/>
      <name val="CordiaUPC"/>
      <family val="2"/>
    </font>
    <font>
      <sz val="14"/>
      <name val="AngsanaUPC"/>
      <family val="1"/>
    </font>
    <font>
      <sz val="16"/>
      <color theme="1"/>
      <name val="TH SarabunPSK"/>
      <family val="2"/>
    </font>
    <font>
      <sz val="14"/>
      <name val="AngsanaUPC"/>
      <family val="1"/>
      <charset val="222"/>
    </font>
    <font>
      <sz val="15"/>
      <name val="TH SarabunPSK"/>
      <family val="2"/>
    </font>
    <font>
      <sz val="15"/>
      <name val="AngsanaUPC"/>
      <family val="1"/>
      <charset val="222"/>
    </font>
    <font>
      <b/>
      <sz val="15"/>
      <name val="TH SarabunPSK"/>
      <family val="2"/>
    </font>
    <font>
      <b/>
      <u/>
      <sz val="15"/>
      <name val="TH SarabunPSK"/>
      <family val="2"/>
    </font>
    <font>
      <b/>
      <i/>
      <sz val="15"/>
      <name val="AngsanaUPC"/>
      <family val="1"/>
      <charset val="222"/>
    </font>
    <font>
      <b/>
      <sz val="15"/>
      <name val="AngsanaUPC"/>
      <family val="1"/>
      <charset val="222"/>
    </font>
    <font>
      <i/>
      <sz val="15"/>
      <name val="AngsanaUPC"/>
      <family val="1"/>
    </font>
    <font>
      <sz val="10"/>
      <name val="Arial"/>
      <family val="2"/>
    </font>
    <font>
      <sz val="14"/>
      <color rgb="FF222222"/>
      <name val="Arial"/>
      <family val="2"/>
    </font>
    <font>
      <b/>
      <sz val="14"/>
      <color rgb="FFFFFFFF"/>
      <name val="Arial"/>
      <family val="2"/>
    </font>
    <font>
      <b/>
      <sz val="10"/>
      <color rgb="FFFFFFFF"/>
      <name val="Arial"/>
      <family val="2"/>
    </font>
    <font>
      <b/>
      <sz val="14"/>
      <name val="Arial"/>
      <family val="2"/>
    </font>
    <font>
      <sz val="10"/>
      <color rgb="FF222222"/>
      <name val="Arial"/>
      <family val="2"/>
    </font>
    <font>
      <sz val="12"/>
      <color rgb="FF222222"/>
      <name val="Arial"/>
      <family val="2"/>
    </font>
    <font>
      <sz val="8"/>
      <color rgb="FF000000"/>
      <name val="MS Sans Serif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color indexed="81"/>
      <name val="Tahoma"/>
      <family val="2"/>
    </font>
    <font>
      <sz val="14"/>
      <name val="SV Rojchana"/>
      <charset val="222"/>
    </font>
    <font>
      <sz val="11"/>
      <color indexed="8"/>
      <name val="Calibri"/>
      <family val="2"/>
      <charset val="222"/>
    </font>
    <font>
      <sz val="11"/>
      <color indexed="9"/>
      <name val="Calibri"/>
      <family val="2"/>
      <charset val="222"/>
    </font>
    <font>
      <sz val="11"/>
      <color indexed="20"/>
      <name val="Calibri"/>
      <family val="2"/>
      <charset val="222"/>
    </font>
    <font>
      <b/>
      <sz val="11"/>
      <color indexed="10"/>
      <name val="Calibri"/>
      <family val="2"/>
      <charset val="222"/>
    </font>
    <font>
      <b/>
      <sz val="11"/>
      <color indexed="9"/>
      <name val="Calibri"/>
      <family val="2"/>
      <charset val="222"/>
    </font>
    <font>
      <i/>
      <sz val="11"/>
      <color indexed="23"/>
      <name val="Calibri"/>
      <family val="2"/>
      <charset val="222"/>
    </font>
    <font>
      <sz val="11"/>
      <color indexed="17"/>
      <name val="Calibri"/>
      <family val="2"/>
      <charset val="222"/>
    </font>
    <font>
      <b/>
      <sz val="15"/>
      <color indexed="62"/>
      <name val="Calibri"/>
      <family val="2"/>
      <charset val="222"/>
    </font>
    <font>
      <b/>
      <sz val="13"/>
      <color indexed="62"/>
      <name val="Calibri"/>
      <family val="2"/>
      <charset val="222"/>
    </font>
    <font>
      <b/>
      <sz val="11"/>
      <color indexed="62"/>
      <name val="Calibri"/>
      <family val="2"/>
      <charset val="222"/>
    </font>
    <font>
      <sz val="11"/>
      <color indexed="62"/>
      <name val="Calibri"/>
      <family val="2"/>
      <charset val="222"/>
    </font>
    <font>
      <sz val="11"/>
      <color indexed="10"/>
      <name val="Calibri"/>
      <family val="2"/>
      <charset val="222"/>
    </font>
    <font>
      <sz val="11"/>
      <color indexed="19"/>
      <name val="Calibri"/>
      <family val="2"/>
      <charset val="222"/>
    </font>
    <font>
      <sz val="14"/>
      <name val="Browallia New"/>
      <family val="2"/>
    </font>
    <font>
      <sz val="12"/>
      <name val="EucrosiaUPC"/>
      <family val="1"/>
      <charset val="222"/>
    </font>
    <font>
      <b/>
      <sz val="11"/>
      <color indexed="63"/>
      <name val="Calibri"/>
      <family val="2"/>
      <charset val="222"/>
    </font>
    <font>
      <b/>
      <sz val="18"/>
      <color indexed="62"/>
      <name val="Cambria"/>
      <family val="2"/>
      <charset val="222"/>
    </font>
    <font>
      <b/>
      <sz val="11"/>
      <color indexed="8"/>
      <name val="Calibri"/>
      <family val="2"/>
      <charset val="222"/>
    </font>
    <font>
      <sz val="16"/>
      <name val="TH SarabunIT๙"/>
      <family val="2"/>
    </font>
    <font>
      <u/>
      <sz val="14"/>
      <color indexed="12"/>
      <name val="AngsanaUPC"/>
      <family val="1"/>
      <charset val="222"/>
    </font>
    <font>
      <u/>
      <sz val="14"/>
      <color indexed="36"/>
      <name val="AngsanaUPC"/>
      <family val="1"/>
      <charset val="222"/>
    </font>
    <font>
      <sz val="14"/>
      <name val="CordiaUPC"/>
      <family val="2"/>
      <charset val="222"/>
    </font>
    <font>
      <b/>
      <sz val="14"/>
      <name val="TH SarabunPSK"/>
      <family val="2"/>
    </font>
    <font>
      <sz val="14"/>
      <name val="TH SarabunPSK"/>
      <family val="2"/>
    </font>
    <font>
      <b/>
      <sz val="13"/>
      <name val="TH SarabunPSK"/>
      <family val="2"/>
    </font>
    <font>
      <u/>
      <sz val="14"/>
      <name val="TH SarabunPSK"/>
      <family val="2"/>
    </font>
    <font>
      <vertAlign val="subscript"/>
      <sz val="14"/>
      <name val="TH SarabunPSK"/>
      <family val="2"/>
    </font>
    <font>
      <sz val="15.5"/>
      <name val="TH SarabunPSK"/>
      <family val="2"/>
    </font>
    <font>
      <vertAlign val="subscript"/>
      <sz val="14"/>
      <color theme="1"/>
      <name val="TH SarabunPSK"/>
      <family val="2"/>
    </font>
    <font>
      <sz val="14"/>
      <color theme="1"/>
      <name val="TH SarabunPSK"/>
      <family val="2"/>
    </font>
    <font>
      <sz val="13"/>
      <color theme="1"/>
      <name val="TH SarabunPSK"/>
      <family val="2"/>
    </font>
    <font>
      <sz val="12"/>
      <color theme="1"/>
      <name val="TH SarabunPSK"/>
      <family val="2"/>
    </font>
    <font>
      <sz val="15"/>
      <name val="Browallia New"/>
      <family val="2"/>
    </font>
    <font>
      <b/>
      <sz val="16"/>
      <name val="TH SarabunPSK"/>
      <family val="2"/>
    </font>
    <font>
      <b/>
      <sz val="14"/>
      <name val="TH SarabunPSK"/>
      <family val="2"/>
      <charset val="222"/>
    </font>
    <font>
      <sz val="14"/>
      <name val="TH SarabunPSK"/>
      <family val="2"/>
      <charset val="222"/>
    </font>
    <font>
      <b/>
      <sz val="13"/>
      <name val="TH SarabunPSK"/>
      <family val="2"/>
      <charset val="222"/>
    </font>
    <font>
      <u/>
      <sz val="14"/>
      <name val="TH SarabunPSK"/>
      <family val="2"/>
      <charset val="222"/>
    </font>
    <font>
      <b/>
      <sz val="12"/>
      <name val="TH SarabunPSK"/>
      <family val="2"/>
      <charset val="222"/>
    </font>
    <font>
      <vertAlign val="subscript"/>
      <sz val="14"/>
      <name val="TH SarabunPSK"/>
      <family val="2"/>
      <charset val="222"/>
    </font>
    <font>
      <sz val="16"/>
      <name val="TH SarabunPSK"/>
      <family val="2"/>
      <charset val="222"/>
    </font>
    <font>
      <b/>
      <sz val="16"/>
      <name val="TH SarabunPSK"/>
      <family val="2"/>
      <charset val="222"/>
    </font>
    <font>
      <sz val="15"/>
      <name val="TH SarabunPSK"/>
      <family val="2"/>
      <charset val="222"/>
    </font>
    <font>
      <b/>
      <u/>
      <sz val="15"/>
      <name val="TH SarabunPSK"/>
      <family val="2"/>
      <charset val="222"/>
    </font>
    <font>
      <b/>
      <sz val="15"/>
      <name val="TH SarabunPSK"/>
      <family val="2"/>
      <charset val="222"/>
    </font>
    <font>
      <i/>
      <sz val="15"/>
      <name val="AngsanaUPC"/>
      <family val="1"/>
      <charset val="222"/>
    </font>
    <font>
      <sz val="14"/>
      <name val="Arial"/>
      <family val="2"/>
      <charset val="222"/>
    </font>
    <font>
      <b/>
      <sz val="10"/>
      <name val="Arial"/>
      <family val="2"/>
      <charset val="222"/>
    </font>
    <font>
      <b/>
      <sz val="14"/>
      <name val="Arial"/>
      <family val="2"/>
      <charset val="222"/>
    </font>
    <font>
      <sz val="10"/>
      <name val="Arial"/>
      <family val="2"/>
      <charset val="222"/>
    </font>
    <font>
      <sz val="12"/>
      <name val="Arial"/>
      <family val="2"/>
      <charset val="222"/>
    </font>
    <font>
      <sz val="8"/>
      <name val="MS Sans Serif"/>
      <family val="2"/>
      <charset val="222"/>
    </font>
  </fonts>
  <fills count="2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</fills>
  <borders count="5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78">
    <xf numFmtId="0" fontId="0" fillId="0" borderId="11"/>
    <xf numFmtId="43" fontId="5" fillId="0" borderId="0" applyFont="0" applyFill="0" applyBorder="0" applyAlignment="0" applyProtection="0"/>
    <xf numFmtId="0" fontId="2" fillId="0" borderId="0"/>
    <xf numFmtId="189" fontId="6" fillId="0" borderId="0" applyFont="0" applyFill="0" applyBorder="0" applyAlignment="0" applyProtection="0"/>
    <xf numFmtId="189" fontId="8" fillId="0" borderId="0" applyFont="0" applyFill="0" applyBorder="0" applyAlignment="0" applyProtection="0"/>
    <xf numFmtId="0" fontId="6" fillId="0" borderId="0"/>
    <xf numFmtId="0" fontId="5" fillId="0" borderId="11"/>
    <xf numFmtId="189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188" fontId="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27" fillId="0" borderId="0">
      <alignment vertical="center"/>
    </xf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4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6" borderId="0" applyNumberFormat="0" applyBorder="0" applyAlignment="0" applyProtection="0"/>
    <xf numFmtId="0" fontId="28" fillId="14" borderId="0" applyNumberFormat="0" applyBorder="0" applyAlignment="0" applyProtection="0"/>
    <xf numFmtId="0" fontId="29" fillId="16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18" borderId="0" applyNumberFormat="0" applyBorder="0" applyAlignment="0" applyProtection="0"/>
    <xf numFmtId="0" fontId="29" fillId="16" borderId="0" applyNumberFormat="0" applyBorder="0" applyAlignment="0" applyProtection="0"/>
    <xf numFmtId="0" fontId="29" fillId="13" borderId="0" applyNumberFormat="0" applyBorder="0" applyAlignment="0" applyProtection="0"/>
    <xf numFmtId="0" fontId="29" fillId="21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30" fillId="25" borderId="0" applyNumberFormat="0" applyBorder="0" applyAlignment="0" applyProtection="0"/>
    <xf numFmtId="0" fontId="31" fillId="26" borderId="27" applyNumberFormat="0" applyAlignment="0" applyProtection="0"/>
    <xf numFmtId="0" fontId="32" fillId="27" borderId="28" applyNumberFormat="0" applyAlignment="0" applyProtection="0"/>
    <xf numFmtId="43" fontId="2" fillId="0" borderId="0" applyFont="0" applyFill="0" applyBorder="0" applyAlignment="0" applyProtection="0"/>
    <xf numFmtId="190" fontId="6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16" borderId="0" applyNumberFormat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38" fillId="17" borderId="27" applyNumberFormat="0" applyAlignment="0" applyProtection="0"/>
    <xf numFmtId="0" fontId="39" fillId="0" borderId="32" applyNumberFormat="0" applyFill="0" applyAlignment="0" applyProtection="0"/>
    <xf numFmtId="0" fontId="40" fillId="17" borderId="0" applyNumberFormat="0" applyBorder="0" applyAlignment="0" applyProtection="0"/>
    <xf numFmtId="0" fontId="41" fillId="0" borderId="0"/>
    <xf numFmtId="0" fontId="42" fillId="14" borderId="33" applyNumberFormat="0" applyFont="0" applyAlignment="0" applyProtection="0"/>
    <xf numFmtId="0" fontId="43" fillId="26" borderId="34" applyNumberFormat="0" applyAlignment="0" applyProtection="0"/>
    <xf numFmtId="0" fontId="44" fillId="0" borderId="0" applyNumberFormat="0" applyFill="0" applyBorder="0" applyAlignment="0" applyProtection="0"/>
    <xf numFmtId="0" fontId="45" fillId="0" borderId="35" applyNumberFormat="0" applyFill="0" applyAlignment="0" applyProtection="0"/>
    <xf numFmtId="0" fontId="39" fillId="0" borderId="0" applyNumberFormat="0" applyFill="0" applyBorder="0" applyAlignment="0" applyProtection="0"/>
    <xf numFmtId="43" fontId="46" fillId="0" borderId="0" applyFont="0" applyFill="0" applyBorder="0" applyAlignment="0" applyProtection="0"/>
    <xf numFmtId="18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6" fillId="0" borderId="0"/>
    <xf numFmtId="0" fontId="6" fillId="0" borderId="0"/>
    <xf numFmtId="0" fontId="16" fillId="0" borderId="0"/>
    <xf numFmtId="0" fontId="2" fillId="0" borderId="0"/>
    <xf numFmtId="0" fontId="2" fillId="0" borderId="0"/>
    <xf numFmtId="0" fontId="49" fillId="0" borderId="11"/>
    <xf numFmtId="0" fontId="6" fillId="0" borderId="0"/>
    <xf numFmtId="9" fontId="8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2" fillId="0" borderId="0" applyFont="0" applyFill="0" applyBorder="0" applyAlignment="0" applyProtection="0"/>
    <xf numFmtId="190" fontId="8" fillId="0" borderId="0" applyFont="0" applyFill="0" applyBorder="0" applyAlignment="0" applyProtection="0"/>
    <xf numFmtId="0" fontId="1" fillId="0" borderId="0"/>
  </cellStyleXfs>
  <cellXfs count="892">
    <xf numFmtId="0" fontId="0" fillId="0" borderId="11" xfId="0"/>
    <xf numFmtId="0" fontId="4" fillId="0" borderId="0" xfId="2" applyFont="1"/>
    <xf numFmtId="187" fontId="3" fillId="2" borderId="0" xfId="1" applyNumberFormat="1" applyFont="1" applyFill="1" applyAlignment="1"/>
    <xf numFmtId="187" fontId="3" fillId="2" borderId="0" xfId="1" applyNumberFormat="1" applyFont="1" applyFill="1"/>
    <xf numFmtId="187" fontId="3" fillId="2" borderId="0" xfId="1" applyNumberFormat="1" applyFont="1" applyFill="1" applyAlignment="1">
      <alignment horizontal="center"/>
    </xf>
    <xf numFmtId="187" fontId="3" fillId="2" borderId="0" xfId="3" applyNumberFormat="1" applyFont="1" applyFill="1" applyAlignment="1">
      <alignment vertical="center"/>
    </xf>
    <xf numFmtId="187" fontId="3" fillId="2" borderId="0" xfId="3" applyNumberFormat="1" applyFont="1" applyFill="1"/>
    <xf numFmtId="187" fontId="3" fillId="2" borderId="0" xfId="3" applyNumberFormat="1" applyFont="1" applyFill="1" applyAlignment="1">
      <alignment horizontal="center"/>
    </xf>
    <xf numFmtId="187" fontId="3" fillId="3" borderId="0" xfId="1" applyNumberFormat="1" applyFont="1" applyFill="1" applyAlignment="1">
      <alignment vertical="center"/>
    </xf>
    <xf numFmtId="187" fontId="3" fillId="2" borderId="0" xfId="3" applyNumberFormat="1" applyFont="1" applyFill="1" applyAlignment="1">
      <alignment horizontal="center" vertical="center"/>
    </xf>
    <xf numFmtId="187" fontId="3" fillId="3" borderId="1" xfId="1" applyNumberFormat="1" applyFont="1" applyFill="1" applyBorder="1" applyAlignment="1">
      <alignment vertical="center"/>
    </xf>
    <xf numFmtId="187" fontId="3" fillId="0" borderId="0" xfId="1" applyNumberFormat="1" applyFont="1" applyFill="1" applyAlignment="1">
      <alignment vertical="center"/>
    </xf>
    <xf numFmtId="187" fontId="7" fillId="3" borderId="1" xfId="1" applyNumberFormat="1" applyFont="1" applyFill="1" applyBorder="1" applyAlignment="1">
      <alignment vertical="center"/>
    </xf>
    <xf numFmtId="187" fontId="10" fillId="2" borderId="0" xfId="4" applyNumberFormat="1" applyFont="1" applyFill="1" applyAlignment="1">
      <alignment vertical="center"/>
    </xf>
    <xf numFmtId="187" fontId="9" fillId="0" borderId="6" xfId="4" applyNumberFormat="1" applyFont="1" applyBorder="1" applyAlignment="1">
      <alignment vertical="center"/>
    </xf>
    <xf numFmtId="187" fontId="9" fillId="0" borderId="6" xfId="4" applyNumberFormat="1" applyFont="1" applyBorder="1" applyAlignment="1">
      <alignment horizontal="center" vertical="center"/>
    </xf>
    <xf numFmtId="187" fontId="9" fillId="2" borderId="5" xfId="4" applyNumberFormat="1" applyFont="1" applyFill="1" applyBorder="1" applyAlignment="1">
      <alignment horizontal="center" vertical="center"/>
    </xf>
    <xf numFmtId="187" fontId="10" fillId="0" borderId="0" xfId="4" applyNumberFormat="1" applyFont="1" applyAlignment="1">
      <alignment vertical="center"/>
    </xf>
    <xf numFmtId="0" fontId="11" fillId="0" borderId="7" xfId="4" applyNumberFormat="1" applyFont="1" applyFill="1" applyBorder="1" applyAlignment="1">
      <alignment horizontal="center" vertical="center"/>
    </xf>
    <xf numFmtId="0" fontId="9" fillId="0" borderId="7" xfId="4" applyNumberFormat="1" applyFont="1" applyFill="1" applyBorder="1" applyAlignment="1">
      <alignment horizontal="center" vertical="center"/>
    </xf>
    <xf numFmtId="187" fontId="10" fillId="4" borderId="0" xfId="4" applyNumberFormat="1" applyFont="1" applyFill="1" applyAlignment="1">
      <alignment vertical="center"/>
    </xf>
    <xf numFmtId="187" fontId="10" fillId="0" borderId="0" xfId="4" applyNumberFormat="1" applyFont="1"/>
    <xf numFmtId="0" fontId="9" fillId="0" borderId="12" xfId="4" applyNumberFormat="1" applyFont="1" applyFill="1" applyBorder="1"/>
    <xf numFmtId="0" fontId="9" fillId="0" borderId="12" xfId="4" applyNumberFormat="1" applyFont="1" applyFill="1" applyBorder="1" applyAlignment="1">
      <alignment horizontal="center"/>
    </xf>
    <xf numFmtId="190" fontId="11" fillId="0" borderId="6" xfId="4" applyNumberFormat="1" applyFont="1" applyFill="1" applyBorder="1" applyAlignment="1">
      <alignment horizontal="center" vertical="center"/>
    </xf>
    <xf numFmtId="187" fontId="11" fillId="0" borderId="6" xfId="4" applyNumberFormat="1" applyFont="1" applyFill="1" applyBorder="1" applyAlignment="1">
      <alignment horizontal="center" vertical="center"/>
    </xf>
    <xf numFmtId="187" fontId="13" fillId="0" borderId="0" xfId="4" applyNumberFormat="1" applyFont="1" applyFill="1" applyAlignment="1">
      <alignment horizontal="center"/>
    </xf>
    <xf numFmtId="4" fontId="11" fillId="0" borderId="7" xfId="5" applyNumberFormat="1" applyFont="1" applyFill="1" applyBorder="1" applyAlignment="1">
      <alignment horizontal="center" vertical="center"/>
    </xf>
    <xf numFmtId="0" fontId="11" fillId="0" borderId="7" xfId="5" applyNumberFormat="1" applyFont="1" applyFill="1" applyBorder="1" applyAlignment="1">
      <alignment horizontal="center" vertical="center"/>
    </xf>
    <xf numFmtId="0" fontId="11" fillId="0" borderId="7" xfId="4" applyNumberFormat="1" applyFont="1" applyFill="1" applyBorder="1" applyAlignment="1">
      <alignment vertical="center"/>
    </xf>
    <xf numFmtId="187" fontId="9" fillId="0" borderId="0" xfId="4" applyNumberFormat="1" applyFont="1" applyAlignment="1">
      <alignment horizontal="center"/>
    </xf>
    <xf numFmtId="0" fontId="9" fillId="0" borderId="8" xfId="4" applyNumberFormat="1" applyFont="1" applyFill="1" applyBorder="1" applyAlignment="1">
      <alignment horizontal="center"/>
    </xf>
    <xf numFmtId="0" fontId="9" fillId="5" borderId="8" xfId="5" applyFont="1" applyFill="1" applyBorder="1" applyAlignment="1">
      <alignment vertical="center"/>
    </xf>
    <xf numFmtId="4" fontId="9" fillId="5" borderId="12" xfId="8" applyNumberFormat="1" applyFont="1" applyFill="1" applyBorder="1" applyAlignment="1">
      <alignment horizontal="right" vertical="center"/>
    </xf>
    <xf numFmtId="3" fontId="9" fillId="0" borderId="12" xfId="6" applyNumberFormat="1" applyFont="1" applyFill="1" applyBorder="1" applyAlignment="1">
      <alignment horizontal="center" vertical="center"/>
    </xf>
    <xf numFmtId="190" fontId="9" fillId="5" borderId="12" xfId="8" applyNumberFormat="1" applyFont="1" applyFill="1" applyBorder="1" applyAlignment="1">
      <alignment horizontal="center" vertical="center"/>
    </xf>
    <xf numFmtId="43" fontId="9" fillId="5" borderId="12" xfId="8" applyFont="1" applyFill="1" applyBorder="1" applyAlignment="1">
      <alignment horizontal="center" vertical="center"/>
    </xf>
    <xf numFmtId="187" fontId="9" fillId="5" borderId="10" xfId="4" applyNumberFormat="1" applyFont="1" applyFill="1" applyBorder="1" applyAlignment="1">
      <alignment horizontal="center" vertical="center"/>
    </xf>
    <xf numFmtId="187" fontId="9" fillId="0" borderId="0" xfId="4" applyNumberFormat="1" applyFont="1" applyFill="1" applyAlignment="1">
      <alignment horizontal="center" vertical="center"/>
    </xf>
    <xf numFmtId="191" fontId="9" fillId="0" borderId="6" xfId="4" applyNumberFormat="1" applyFont="1" applyFill="1" applyBorder="1" applyAlignment="1">
      <alignment horizontal="center"/>
    </xf>
    <xf numFmtId="191" fontId="9" fillId="6" borderId="6" xfId="4" applyNumberFormat="1" applyFont="1" applyFill="1" applyBorder="1" applyAlignment="1">
      <alignment horizontal="center"/>
    </xf>
    <xf numFmtId="187" fontId="9" fillId="0" borderId="6" xfId="4" applyNumberFormat="1" applyFont="1" applyFill="1" applyBorder="1" applyAlignment="1">
      <alignment horizontal="center"/>
    </xf>
    <xf numFmtId="187" fontId="10" fillId="0" borderId="0" xfId="4" applyNumberFormat="1" applyFont="1" applyFill="1" applyAlignment="1">
      <alignment horizontal="center" vertical="center"/>
    </xf>
    <xf numFmtId="187" fontId="10" fillId="0" borderId="0" xfId="4" applyNumberFormat="1" applyFont="1" applyAlignment="1">
      <alignment horizontal="center" vertical="center"/>
    </xf>
    <xf numFmtId="4" fontId="9" fillId="5" borderId="8" xfId="5" applyNumberFormat="1" applyFont="1" applyFill="1" applyBorder="1" applyAlignment="1">
      <alignment horizontal="right" vertical="center"/>
    </xf>
    <xf numFmtId="190" fontId="9" fillId="0" borderId="12" xfId="4" applyNumberFormat="1" applyFont="1" applyFill="1" applyBorder="1" applyAlignment="1">
      <alignment vertical="center"/>
    </xf>
    <xf numFmtId="190" fontId="9" fillId="0" borderId="12" xfId="8" applyNumberFormat="1" applyFont="1" applyBorder="1" applyAlignment="1">
      <alignment horizontal="center" vertical="center"/>
    </xf>
    <xf numFmtId="43" fontId="9" fillId="0" borderId="12" xfId="8" applyFont="1" applyBorder="1" applyAlignment="1">
      <alignment horizontal="center" vertical="center"/>
    </xf>
    <xf numFmtId="190" fontId="9" fillId="0" borderId="6" xfId="4" applyNumberFormat="1" applyFont="1" applyFill="1" applyBorder="1" applyAlignment="1">
      <alignment horizontal="center"/>
    </xf>
    <xf numFmtId="187" fontId="14" fillId="0" borderId="0" xfId="4" applyNumberFormat="1" applyFont="1" applyAlignment="1">
      <alignment vertical="center"/>
    </xf>
    <xf numFmtId="4" fontId="9" fillId="5" borderId="12" xfId="5" applyNumberFormat="1" applyFont="1" applyFill="1" applyBorder="1" applyAlignment="1">
      <alignment horizontal="right" vertical="center"/>
    </xf>
    <xf numFmtId="190" fontId="9" fillId="0" borderId="12" xfId="4" quotePrefix="1" applyNumberFormat="1" applyFont="1" applyFill="1" applyBorder="1" applyAlignment="1">
      <alignment horizontal="right" vertical="center"/>
    </xf>
    <xf numFmtId="190" fontId="9" fillId="0" borderId="0" xfId="4" applyNumberFormat="1" applyFont="1" applyFill="1" applyAlignment="1">
      <alignment horizontal="center"/>
    </xf>
    <xf numFmtId="187" fontId="9" fillId="0" borderId="0" xfId="4" applyNumberFormat="1" applyFont="1" applyFill="1" applyAlignment="1">
      <alignment horizontal="center"/>
    </xf>
    <xf numFmtId="0" fontId="9" fillId="5" borderId="14" xfId="5" applyFont="1" applyFill="1" applyBorder="1" applyAlignment="1">
      <alignment vertical="center"/>
    </xf>
    <xf numFmtId="187" fontId="10" fillId="0" borderId="0" xfId="4" applyNumberFormat="1" applyFont="1" applyFill="1" applyAlignment="1">
      <alignment horizontal="center"/>
    </xf>
    <xf numFmtId="187" fontId="10" fillId="0" borderId="0" xfId="4" applyNumberFormat="1" applyFont="1" applyAlignment="1">
      <alignment horizontal="center"/>
    </xf>
    <xf numFmtId="0" fontId="9" fillId="0" borderId="12" xfId="4" applyNumberFormat="1" applyFont="1" applyFill="1" applyBorder="1" applyAlignment="1">
      <alignment horizontal="left" vertical="center"/>
    </xf>
    <xf numFmtId="4" fontId="9" fillId="0" borderId="12" xfId="5" applyNumberFormat="1" applyFont="1" applyFill="1" applyBorder="1" applyAlignment="1">
      <alignment horizontal="right" vertical="center"/>
    </xf>
    <xf numFmtId="192" fontId="9" fillId="0" borderId="12" xfId="4" quotePrefix="1" applyNumberFormat="1" applyFont="1" applyFill="1" applyBorder="1" applyAlignment="1">
      <alignment horizontal="right" vertical="center"/>
    </xf>
    <xf numFmtId="187" fontId="9" fillId="5" borderId="12" xfId="4" applyNumberFormat="1" applyFont="1" applyFill="1" applyBorder="1" applyAlignment="1">
      <alignment horizontal="center" vertical="center"/>
    </xf>
    <xf numFmtId="187" fontId="10" fillId="0" borderId="6" xfId="9" applyNumberFormat="1" applyFont="1" applyFill="1" applyBorder="1" applyAlignment="1"/>
    <xf numFmtId="0" fontId="11" fillId="0" borderId="8" xfId="4" applyNumberFormat="1" applyFont="1" applyFill="1" applyBorder="1" applyAlignment="1">
      <alignment horizontal="center" vertical="center"/>
    </xf>
    <xf numFmtId="0" fontId="12" fillId="0" borderId="8" xfId="4" applyNumberFormat="1" applyFont="1" applyFill="1" applyBorder="1" applyAlignment="1">
      <alignment horizontal="left" vertical="center"/>
    </xf>
    <xf numFmtId="4" fontId="11" fillId="0" borderId="8" xfId="5" applyNumberFormat="1" applyFont="1" applyFill="1" applyBorder="1" applyAlignment="1">
      <alignment horizontal="center" vertical="center"/>
    </xf>
    <xf numFmtId="0" fontId="11" fillId="0" borderId="8" xfId="5" applyNumberFormat="1" applyFont="1" applyFill="1" applyBorder="1" applyAlignment="1">
      <alignment horizontal="center" vertical="center"/>
    </xf>
    <xf numFmtId="0" fontId="11" fillId="0" borderId="8" xfId="4" applyNumberFormat="1" applyFont="1" applyFill="1" applyBorder="1" applyAlignment="1">
      <alignment vertical="center"/>
    </xf>
    <xf numFmtId="0" fontId="9" fillId="0" borderId="8" xfId="4" applyNumberFormat="1" applyFont="1" applyFill="1" applyBorder="1" applyAlignment="1">
      <alignment horizontal="center" vertical="center"/>
    </xf>
    <xf numFmtId="0" fontId="9" fillId="0" borderId="8" xfId="5" applyFont="1" applyFill="1" applyBorder="1" applyAlignment="1">
      <alignment vertical="center"/>
    </xf>
    <xf numFmtId="187" fontId="9" fillId="0" borderId="10" xfId="4" applyNumberFormat="1" applyFont="1" applyFill="1" applyBorder="1" applyAlignment="1">
      <alignment horizontal="center" vertical="center"/>
    </xf>
    <xf numFmtId="187" fontId="9" fillId="0" borderId="12" xfId="4" applyNumberFormat="1" applyFont="1" applyFill="1" applyBorder="1" applyAlignment="1">
      <alignment horizontal="center" vertical="center"/>
    </xf>
    <xf numFmtId="0" fontId="9" fillId="0" borderId="12" xfId="5" applyFont="1" applyFill="1" applyBorder="1" applyAlignment="1" applyProtection="1">
      <alignment horizontal="center" vertical="center"/>
      <protection locked="0"/>
    </xf>
    <xf numFmtId="190" fontId="9" fillId="0" borderId="12" xfId="4" applyNumberFormat="1" applyFont="1" applyFill="1" applyBorder="1" applyAlignment="1" applyProtection="1">
      <alignment vertical="center"/>
      <protection locked="0"/>
    </xf>
    <xf numFmtId="187" fontId="9" fillId="0" borderId="12" xfId="4" applyNumberFormat="1" applyFont="1" applyFill="1" applyBorder="1" applyAlignment="1" applyProtection="1">
      <alignment vertical="center"/>
      <protection locked="0"/>
    </xf>
    <xf numFmtId="4" fontId="9" fillId="0" borderId="12" xfId="4" applyNumberFormat="1" applyFont="1" applyFill="1" applyBorder="1" applyAlignment="1">
      <alignment horizontal="center" vertical="center"/>
    </xf>
    <xf numFmtId="187" fontId="9" fillId="2" borderId="0" xfId="4" applyNumberFormat="1" applyFont="1" applyFill="1" applyAlignment="1">
      <alignment horizontal="center"/>
    </xf>
    <xf numFmtId="193" fontId="9" fillId="0" borderId="12" xfId="4" applyNumberFormat="1" applyFont="1" applyFill="1" applyBorder="1" applyAlignment="1">
      <alignment vertical="center"/>
    </xf>
    <xf numFmtId="187" fontId="9" fillId="0" borderId="12" xfId="4" applyNumberFormat="1" applyFont="1" applyFill="1" applyBorder="1" applyAlignment="1">
      <alignment vertical="center"/>
    </xf>
    <xf numFmtId="187" fontId="9" fillId="0" borderId="0" xfId="4" applyNumberFormat="1" applyFont="1" applyAlignment="1">
      <alignment horizontal="center" vertical="center"/>
    </xf>
    <xf numFmtId="187" fontId="11" fillId="0" borderId="6" xfId="4" applyNumberFormat="1" applyFont="1" applyFill="1" applyBorder="1"/>
    <xf numFmtId="187" fontId="11" fillId="0" borderId="6" xfId="4" applyNumberFormat="1" applyFont="1" applyFill="1" applyBorder="1" applyAlignment="1">
      <alignment horizontal="center"/>
    </xf>
    <xf numFmtId="4" fontId="11" fillId="0" borderId="6" xfId="6" applyNumberFormat="1" applyFont="1" applyBorder="1" applyAlignment="1">
      <alignment horizontal="right" vertical="center"/>
    </xf>
    <xf numFmtId="0" fontId="11" fillId="0" borderId="6" xfId="6" applyNumberFormat="1" applyFont="1" applyBorder="1" applyAlignment="1">
      <alignment horizontal="center" vertical="center"/>
    </xf>
    <xf numFmtId="190" fontId="11" fillId="0" borderId="6" xfId="4" applyNumberFormat="1" applyFont="1" applyFill="1" applyBorder="1" applyAlignment="1">
      <alignment vertical="center"/>
    </xf>
    <xf numFmtId="187" fontId="9" fillId="4" borderId="0" xfId="4" applyNumberFormat="1" applyFont="1" applyFill="1" applyAlignment="1">
      <alignment horizontal="center" vertical="center"/>
    </xf>
    <xf numFmtId="187" fontId="9" fillId="4" borderId="6" xfId="4" applyNumberFormat="1" applyFont="1" applyFill="1" applyBorder="1" applyAlignment="1">
      <alignment horizontal="center" vertical="center"/>
    </xf>
    <xf numFmtId="187" fontId="10" fillId="4" borderId="6" xfId="4" applyNumberFormat="1" applyFont="1" applyFill="1" applyBorder="1" applyAlignment="1">
      <alignment horizontal="center" vertical="center"/>
    </xf>
    <xf numFmtId="187" fontId="10" fillId="4" borderId="0" xfId="4" applyNumberFormat="1" applyFont="1" applyFill="1" applyAlignment="1">
      <alignment horizontal="center" vertical="center"/>
    </xf>
    <xf numFmtId="49" fontId="11" fillId="0" borderId="7" xfId="6" applyNumberFormat="1" applyFont="1" applyFill="1" applyBorder="1" applyAlignment="1">
      <alignment horizontal="left" vertical="center"/>
    </xf>
    <xf numFmtId="4" fontId="11" fillId="0" borderId="7" xfId="6" applyNumberFormat="1" applyFont="1" applyFill="1" applyBorder="1" applyAlignment="1">
      <alignment horizontal="right" vertical="center"/>
    </xf>
    <xf numFmtId="3" fontId="11" fillId="0" borderId="7" xfId="6" applyNumberFormat="1" applyFont="1" applyFill="1" applyBorder="1" applyAlignment="1">
      <alignment horizontal="center" vertical="center"/>
    </xf>
    <xf numFmtId="188" fontId="11" fillId="0" borderId="7" xfId="6" applyNumberFormat="1" applyFont="1" applyFill="1" applyBorder="1" applyAlignment="1">
      <alignment vertical="center"/>
    </xf>
    <xf numFmtId="188" fontId="11" fillId="0" borderId="7" xfId="6" applyNumberFormat="1" applyFont="1" applyFill="1" applyBorder="1" applyAlignment="1">
      <alignment horizontal="right" vertical="center"/>
    </xf>
    <xf numFmtId="187" fontId="9" fillId="0" borderId="7" xfId="4" applyNumberFormat="1" applyFont="1" applyFill="1" applyBorder="1" applyAlignment="1">
      <alignment vertical="center"/>
    </xf>
    <xf numFmtId="187" fontId="9" fillId="0" borderId="6" xfId="4" applyNumberFormat="1" applyFont="1" applyFill="1" applyBorder="1" applyAlignment="1">
      <alignment horizontal="center" vertical="center"/>
    </xf>
    <xf numFmtId="189" fontId="9" fillId="0" borderId="6" xfId="4" applyNumberFormat="1" applyFont="1" applyFill="1" applyBorder="1" applyAlignment="1">
      <alignment horizontal="center" vertical="center"/>
    </xf>
    <xf numFmtId="190" fontId="9" fillId="0" borderId="6" xfId="4" applyNumberFormat="1" applyFont="1" applyFill="1" applyBorder="1" applyAlignment="1">
      <alignment horizontal="center" vertical="center"/>
    </xf>
    <xf numFmtId="43" fontId="9" fillId="0" borderId="6" xfId="4" applyNumberFormat="1" applyFont="1" applyFill="1" applyBorder="1" applyAlignment="1">
      <alignment horizontal="center" vertical="center"/>
    </xf>
    <xf numFmtId="187" fontId="10" fillId="0" borderId="0" xfId="4" applyNumberFormat="1" applyFont="1" applyFill="1" applyAlignment="1">
      <alignment vertical="center"/>
    </xf>
    <xf numFmtId="49" fontId="9" fillId="0" borderId="12" xfId="6" applyNumberFormat="1" applyFont="1" applyBorder="1" applyAlignment="1">
      <alignment horizontal="left" vertical="center"/>
    </xf>
    <xf numFmtId="4" fontId="9" fillId="0" borderId="12" xfId="6" applyNumberFormat="1" applyFont="1" applyFill="1" applyBorder="1" applyAlignment="1">
      <alignment horizontal="right" vertical="center"/>
    </xf>
    <xf numFmtId="3" fontId="9" fillId="0" borderId="12" xfId="6" applyNumberFormat="1" applyFont="1" applyBorder="1" applyAlignment="1">
      <alignment horizontal="center" vertical="center"/>
    </xf>
    <xf numFmtId="188" fontId="9" fillId="0" borderId="12" xfId="6" applyNumberFormat="1" applyFont="1" applyFill="1" applyBorder="1" applyAlignment="1">
      <alignment vertical="center"/>
    </xf>
    <xf numFmtId="188" fontId="9" fillId="0" borderId="12" xfId="6" applyNumberFormat="1" applyFont="1" applyFill="1" applyBorder="1" applyAlignment="1">
      <alignment horizontal="right" vertical="center"/>
    </xf>
    <xf numFmtId="188" fontId="9" fillId="0" borderId="8" xfId="6" applyNumberFormat="1" applyFont="1" applyFill="1" applyBorder="1" applyAlignment="1">
      <alignment vertical="center"/>
    </xf>
    <xf numFmtId="190" fontId="9" fillId="0" borderId="6" xfId="4" applyNumberFormat="1" applyFont="1" applyBorder="1" applyAlignment="1">
      <alignment horizontal="center"/>
    </xf>
    <xf numFmtId="187" fontId="9" fillId="0" borderId="6" xfId="4" applyNumberFormat="1" applyFont="1" applyBorder="1" applyAlignment="1">
      <alignment horizontal="center"/>
    </xf>
    <xf numFmtId="0" fontId="9" fillId="0" borderId="14" xfId="4" applyNumberFormat="1" applyFont="1" applyFill="1" applyBorder="1" applyAlignment="1">
      <alignment horizontal="center" vertical="center"/>
    </xf>
    <xf numFmtId="49" fontId="9" fillId="0" borderId="12" xfId="6" applyNumberFormat="1" applyFont="1" applyBorder="1" applyAlignment="1">
      <alignment vertical="center"/>
    </xf>
    <xf numFmtId="0" fontId="11" fillId="0" borderId="12" xfId="6" applyFont="1" applyBorder="1" applyAlignment="1">
      <alignment horizontal="center" vertical="center"/>
    </xf>
    <xf numFmtId="0" fontId="11" fillId="0" borderId="12" xfId="4" applyNumberFormat="1" applyFont="1" applyFill="1" applyBorder="1" applyAlignment="1">
      <alignment vertical="center"/>
    </xf>
    <xf numFmtId="187" fontId="9" fillId="0" borderId="8" xfId="4" applyNumberFormat="1" applyFont="1" applyFill="1" applyBorder="1" applyAlignment="1">
      <alignment vertical="center"/>
    </xf>
    <xf numFmtId="194" fontId="9" fillId="6" borderId="6" xfId="4" applyNumberFormat="1" applyFont="1" applyFill="1" applyBorder="1" applyAlignment="1">
      <alignment horizontal="center"/>
    </xf>
    <xf numFmtId="195" fontId="9" fillId="6" borderId="6" xfId="4" applyNumberFormat="1" applyFont="1" applyFill="1" applyBorder="1" applyAlignment="1">
      <alignment horizontal="center"/>
    </xf>
    <xf numFmtId="194" fontId="9" fillId="7" borderId="6" xfId="4" applyNumberFormat="1" applyFont="1" applyFill="1" applyBorder="1" applyAlignment="1">
      <alignment horizontal="center"/>
    </xf>
    <xf numFmtId="195" fontId="9" fillId="7" borderId="6" xfId="4" applyNumberFormat="1" applyFont="1" applyFill="1" applyBorder="1" applyAlignment="1">
      <alignment horizontal="center"/>
    </xf>
    <xf numFmtId="194" fontId="9" fillId="8" borderId="6" xfId="4" applyNumberFormat="1" applyFont="1" applyFill="1" applyBorder="1" applyAlignment="1">
      <alignment horizontal="center"/>
    </xf>
    <xf numFmtId="4" fontId="9" fillId="0" borderId="12" xfId="4" applyNumberFormat="1" applyFont="1" applyFill="1" applyBorder="1" applyAlignment="1">
      <alignment horizontal="right" vertical="center"/>
    </xf>
    <xf numFmtId="187" fontId="9" fillId="6" borderId="6" xfId="4" applyNumberFormat="1" applyFont="1" applyFill="1" applyBorder="1" applyAlignment="1">
      <alignment horizontal="center"/>
    </xf>
    <xf numFmtId="190" fontId="9" fillId="6" borderId="6" xfId="4" applyNumberFormat="1" applyFont="1" applyFill="1" applyBorder="1" applyAlignment="1">
      <alignment horizontal="center"/>
    </xf>
    <xf numFmtId="187" fontId="9" fillId="7" borderId="6" xfId="4" applyNumberFormat="1" applyFont="1" applyFill="1" applyBorder="1" applyAlignment="1">
      <alignment horizontal="center"/>
    </xf>
    <xf numFmtId="190" fontId="9" fillId="7" borderId="6" xfId="4" applyNumberFormat="1" applyFont="1" applyFill="1" applyBorder="1" applyAlignment="1">
      <alignment horizontal="center"/>
    </xf>
    <xf numFmtId="187" fontId="9" fillId="8" borderId="6" xfId="4" applyNumberFormat="1" applyFont="1" applyFill="1" applyBorder="1" applyAlignment="1">
      <alignment horizontal="center"/>
    </xf>
    <xf numFmtId="187" fontId="9" fillId="0" borderId="10" xfId="4" applyNumberFormat="1" applyFont="1" applyFill="1" applyBorder="1" applyAlignment="1">
      <alignment vertical="center"/>
    </xf>
    <xf numFmtId="187" fontId="9" fillId="9" borderId="6" xfId="4" applyNumberFormat="1" applyFont="1" applyFill="1" applyBorder="1" applyAlignment="1">
      <alignment horizontal="center"/>
    </xf>
    <xf numFmtId="187" fontId="11" fillId="9" borderId="6" xfId="4" applyNumberFormat="1" applyFont="1" applyFill="1" applyBorder="1" applyAlignment="1">
      <alignment horizontal="center"/>
    </xf>
    <xf numFmtId="190" fontId="9" fillId="9" borderId="6" xfId="4" applyNumberFormat="1" applyFont="1" applyFill="1" applyBorder="1" applyAlignment="1">
      <alignment horizontal="center"/>
    </xf>
    <xf numFmtId="192" fontId="11" fillId="9" borderId="6" xfId="4" applyNumberFormat="1" applyFont="1" applyFill="1" applyBorder="1" applyAlignment="1">
      <alignment horizontal="center"/>
    </xf>
    <xf numFmtId="187" fontId="11" fillId="8" borderId="6" xfId="4" applyNumberFormat="1" applyFont="1" applyFill="1" applyBorder="1" applyAlignment="1">
      <alignment horizontal="center"/>
    </xf>
    <xf numFmtId="188" fontId="9" fillId="0" borderId="12" xfId="4" applyNumberFormat="1" applyFont="1" applyFill="1" applyBorder="1" applyAlignment="1">
      <alignment vertical="center"/>
    </xf>
    <xf numFmtId="49" fontId="9" fillId="0" borderId="12" xfId="6" quotePrefix="1" applyNumberFormat="1" applyFont="1" applyBorder="1" applyAlignment="1">
      <alignment horizontal="left" vertical="center"/>
    </xf>
    <xf numFmtId="192" fontId="9" fillId="8" borderId="6" xfId="4" applyNumberFormat="1" applyFont="1" applyFill="1" applyBorder="1" applyAlignment="1">
      <alignment horizontal="center"/>
    </xf>
    <xf numFmtId="190" fontId="9" fillId="8" borderId="6" xfId="4" applyNumberFormat="1" applyFont="1" applyFill="1" applyBorder="1" applyAlignment="1">
      <alignment horizontal="center"/>
    </xf>
    <xf numFmtId="192" fontId="11" fillId="8" borderId="6" xfId="4" applyNumberFormat="1" applyFont="1" applyFill="1" applyBorder="1" applyAlignment="1">
      <alignment horizontal="center"/>
    </xf>
    <xf numFmtId="0" fontId="9" fillId="0" borderId="8" xfId="6" applyFont="1" applyBorder="1" applyAlignment="1">
      <alignment horizontal="left" vertical="center"/>
    </xf>
    <xf numFmtId="196" fontId="9" fillId="0" borderId="12" xfId="6" applyNumberFormat="1" applyFont="1" applyFill="1" applyBorder="1" applyAlignment="1">
      <alignment vertical="center"/>
    </xf>
    <xf numFmtId="190" fontId="9" fillId="0" borderId="0" xfId="4" applyNumberFormat="1" applyFont="1" applyAlignment="1">
      <alignment horizontal="center"/>
    </xf>
    <xf numFmtId="0" fontId="9" fillId="0" borderId="12" xfId="4" applyNumberFormat="1" applyFont="1" applyFill="1" applyBorder="1" applyAlignment="1">
      <alignment horizontal="center" vertical="center"/>
    </xf>
    <xf numFmtId="189" fontId="9" fillId="0" borderId="0" xfId="4" applyNumberFormat="1" applyFont="1" applyFill="1" applyAlignment="1">
      <alignment horizontal="center"/>
    </xf>
    <xf numFmtId="192" fontId="9" fillId="4" borderId="6" xfId="4" applyNumberFormat="1" applyFont="1" applyFill="1" applyBorder="1" applyAlignment="1">
      <alignment horizontal="center"/>
    </xf>
    <xf numFmtId="187" fontId="9" fillId="6" borderId="6" xfId="4" applyNumberFormat="1" applyFont="1" applyFill="1" applyBorder="1" applyAlignment="1">
      <alignment horizontal="left"/>
    </xf>
    <xf numFmtId="190" fontId="9" fillId="0" borderId="8" xfId="4" applyNumberFormat="1" applyFont="1" applyFill="1" applyBorder="1" applyAlignment="1">
      <alignment vertical="center"/>
    </xf>
    <xf numFmtId="190" fontId="9" fillId="0" borderId="8" xfId="4" applyNumberFormat="1" applyFont="1" applyFill="1" applyBorder="1" applyAlignment="1">
      <alignment horizontal="right" vertical="center"/>
    </xf>
    <xf numFmtId="192" fontId="9" fillId="6" borderId="6" xfId="4" applyNumberFormat="1" applyFont="1" applyFill="1" applyBorder="1" applyAlignment="1">
      <alignment horizontal="center"/>
    </xf>
    <xf numFmtId="0" fontId="9" fillId="0" borderId="12" xfId="5" applyFont="1" applyFill="1" applyBorder="1" applyAlignment="1">
      <alignment vertical="center"/>
    </xf>
    <xf numFmtId="192" fontId="10" fillId="4" borderId="6" xfId="4" applyNumberFormat="1" applyFont="1" applyFill="1" applyBorder="1"/>
    <xf numFmtId="192" fontId="10" fillId="4" borderId="6" xfId="4" applyNumberFormat="1" applyFont="1" applyFill="1" applyBorder="1" applyAlignment="1">
      <alignment horizontal="center" vertical="center"/>
    </xf>
    <xf numFmtId="192" fontId="10" fillId="0" borderId="6" xfId="4" applyNumberFormat="1" applyFont="1" applyBorder="1"/>
    <xf numFmtId="192" fontId="10" fillId="2" borderId="6" xfId="4" applyNumberFormat="1" applyFont="1" applyFill="1" applyBorder="1" applyAlignment="1">
      <alignment vertical="center"/>
    </xf>
    <xf numFmtId="0" fontId="11" fillId="0" borderId="6" xfId="6" applyFont="1" applyBorder="1" applyAlignment="1">
      <alignment horizontal="center" vertical="center"/>
    </xf>
    <xf numFmtId="49" fontId="11" fillId="0" borderId="6" xfId="6" applyNumberFormat="1" applyFont="1" applyBorder="1" applyAlignment="1">
      <alignment horizontal="center" vertical="center"/>
    </xf>
    <xf numFmtId="188" fontId="11" fillId="0" borderId="6" xfId="6" applyNumberFormat="1" applyFont="1" applyBorder="1" applyAlignment="1">
      <alignment vertical="center"/>
    </xf>
    <xf numFmtId="0" fontId="11" fillId="0" borderId="6" xfId="4" applyNumberFormat="1" applyFont="1" applyFill="1" applyBorder="1" applyAlignment="1">
      <alignment vertical="center"/>
    </xf>
    <xf numFmtId="1" fontId="11" fillId="0" borderId="17" xfId="6" applyNumberFormat="1" applyFont="1" applyFill="1" applyBorder="1" applyAlignment="1">
      <alignment horizontal="center" vertical="center"/>
    </xf>
    <xf numFmtId="187" fontId="11" fillId="0" borderId="7" xfId="4" applyNumberFormat="1" applyFont="1" applyFill="1" applyBorder="1" applyAlignment="1">
      <alignment horizontal="center" vertical="center"/>
    </xf>
    <xf numFmtId="187" fontId="15" fillId="4" borderId="6" xfId="4" applyNumberFormat="1" applyFont="1" applyFill="1" applyBorder="1" applyAlignment="1">
      <alignment vertical="center"/>
    </xf>
    <xf numFmtId="0" fontId="11" fillId="0" borderId="15" xfId="6" applyNumberFormat="1" applyFont="1" applyBorder="1" applyAlignment="1">
      <alignment horizontal="center" vertical="center"/>
    </xf>
    <xf numFmtId="0" fontId="9" fillId="0" borderId="12" xfId="6" applyNumberFormat="1" applyFont="1" applyBorder="1" applyAlignment="1">
      <alignment horizontal="center" vertical="center"/>
    </xf>
    <xf numFmtId="196" fontId="9" fillId="0" borderId="12" xfId="6" applyNumberFormat="1" applyFont="1" applyBorder="1" applyAlignment="1">
      <alignment vertical="center"/>
    </xf>
    <xf numFmtId="188" fontId="9" fillId="0" borderId="12" xfId="6" applyNumberFormat="1" applyFont="1" applyBorder="1" applyAlignment="1">
      <alignment vertical="center"/>
    </xf>
    <xf numFmtId="188" fontId="9" fillId="0" borderId="8" xfId="6" applyNumberFormat="1" applyFont="1" applyBorder="1" applyAlignment="1">
      <alignment vertical="center"/>
    </xf>
    <xf numFmtId="187" fontId="11" fillId="0" borderId="10" xfId="4" applyNumberFormat="1" applyFont="1" applyFill="1" applyBorder="1" applyAlignment="1">
      <alignment vertical="center"/>
    </xf>
    <xf numFmtId="187" fontId="10" fillId="7" borderId="6" xfId="4" applyNumberFormat="1" applyFont="1" applyFill="1" applyBorder="1" applyAlignment="1">
      <alignment vertical="center"/>
    </xf>
    <xf numFmtId="192" fontId="10" fillId="7" borderId="6" xfId="4" applyNumberFormat="1" applyFont="1" applyFill="1" applyBorder="1"/>
    <xf numFmtId="187" fontId="10" fillId="0" borderId="6" xfId="4" applyNumberFormat="1" applyFont="1" applyBorder="1"/>
    <xf numFmtId="1" fontId="11" fillId="0" borderId="15" xfId="6" applyNumberFormat="1" applyFont="1" applyBorder="1" applyAlignment="1">
      <alignment horizontal="center" vertical="center"/>
    </xf>
    <xf numFmtId="0" fontId="9" fillId="0" borderId="12" xfId="6" applyFont="1" applyBorder="1" applyAlignment="1">
      <alignment horizontal="left" vertical="center"/>
    </xf>
    <xf numFmtId="188" fontId="9" fillId="0" borderId="12" xfId="6" applyNumberFormat="1" applyFont="1" applyBorder="1" applyAlignment="1">
      <alignment horizontal="right" vertical="center"/>
    </xf>
    <xf numFmtId="187" fontId="10" fillId="6" borderId="6" xfId="4" applyNumberFormat="1" applyFont="1" applyFill="1" applyBorder="1"/>
    <xf numFmtId="187" fontId="10" fillId="6" borderId="6" xfId="4" applyNumberFormat="1" applyFont="1" applyFill="1" applyBorder="1" applyAlignment="1">
      <alignment horizontal="center" vertical="center"/>
    </xf>
    <xf numFmtId="0" fontId="9" fillId="0" borderId="12" xfId="6" applyFont="1" applyBorder="1" applyAlignment="1">
      <alignment vertical="center"/>
    </xf>
    <xf numFmtId="190" fontId="10" fillId="0" borderId="0" xfId="4" applyNumberFormat="1" applyFont="1"/>
    <xf numFmtId="192" fontId="10" fillId="6" borderId="6" xfId="4" applyNumberFormat="1" applyFont="1" applyFill="1" applyBorder="1"/>
    <xf numFmtId="190" fontId="10" fillId="6" borderId="6" xfId="4" applyNumberFormat="1" applyFont="1" applyFill="1" applyBorder="1"/>
    <xf numFmtId="191" fontId="10" fillId="6" borderId="6" xfId="4" applyNumberFormat="1" applyFont="1" applyFill="1" applyBorder="1"/>
    <xf numFmtId="0" fontId="9" fillId="0" borderId="8" xfId="6" applyFont="1" applyBorder="1" applyAlignment="1">
      <alignment vertical="center"/>
    </xf>
    <xf numFmtId="187" fontId="10" fillId="0" borderId="5" xfId="4" applyNumberFormat="1" applyFont="1" applyBorder="1"/>
    <xf numFmtId="0" fontId="11" fillId="0" borderId="6" xfId="6" applyFont="1" applyBorder="1" applyAlignment="1">
      <alignment horizontal="center"/>
    </xf>
    <xf numFmtId="49" fontId="11" fillId="0" borderId="6" xfId="6" applyNumberFormat="1" applyFont="1" applyBorder="1" applyAlignment="1">
      <alignment horizontal="center"/>
    </xf>
    <xf numFmtId="188" fontId="11" fillId="0" borderId="6" xfId="6" applyNumberFormat="1" applyFont="1" applyBorder="1" applyAlignment="1">
      <alignment horizontal="right" vertical="center"/>
    </xf>
    <xf numFmtId="187" fontId="9" fillId="0" borderId="6" xfId="4" applyNumberFormat="1" applyFont="1" applyFill="1" applyBorder="1" applyAlignment="1">
      <alignment vertical="top"/>
    </xf>
    <xf numFmtId="0" fontId="11" fillId="0" borderId="7" xfId="6" applyFont="1" applyBorder="1" applyAlignment="1">
      <alignment horizontal="center"/>
    </xf>
    <xf numFmtId="49" fontId="11" fillId="0" borderId="7" xfId="6" applyNumberFormat="1" applyFont="1" applyFill="1" applyBorder="1" applyAlignment="1">
      <alignment horizontal="left"/>
    </xf>
    <xf numFmtId="4" fontId="9" fillId="0" borderId="7" xfId="6" applyNumberFormat="1" applyFont="1" applyFill="1" applyBorder="1" applyAlignment="1">
      <alignment horizontal="right" vertical="center"/>
    </xf>
    <xf numFmtId="3" fontId="9" fillId="0" borderId="7" xfId="6" applyNumberFormat="1" applyFont="1" applyFill="1" applyBorder="1" applyAlignment="1">
      <alignment horizontal="center" vertical="center"/>
    </xf>
    <xf numFmtId="188" fontId="9" fillId="0" borderId="7" xfId="6" applyNumberFormat="1" applyFont="1" applyFill="1" applyBorder="1" applyAlignment="1">
      <alignment vertical="center"/>
    </xf>
    <xf numFmtId="188" fontId="9" fillId="0" borderId="7" xfId="6" applyNumberFormat="1" applyFont="1" applyFill="1" applyBorder="1" applyAlignment="1">
      <alignment horizontal="right" vertical="center"/>
    </xf>
    <xf numFmtId="3" fontId="9" fillId="0" borderId="18" xfId="6" applyNumberFormat="1" applyFont="1" applyFill="1" applyBorder="1"/>
    <xf numFmtId="1" fontId="11" fillId="0" borderId="19" xfId="6" applyNumberFormat="1" applyFont="1" applyBorder="1" applyAlignment="1">
      <alignment horizontal="center" vertical="center"/>
    </xf>
    <xf numFmtId="0" fontId="9" fillId="0" borderId="12" xfId="6" applyFont="1" applyBorder="1" applyAlignment="1">
      <alignment horizontal="left"/>
    </xf>
    <xf numFmtId="3" fontId="9" fillId="0" borderId="20" xfId="6" applyNumberFormat="1" applyFont="1" applyBorder="1"/>
    <xf numFmtId="187" fontId="10" fillId="2" borderId="0" xfId="4" applyNumberFormat="1" applyFont="1" applyFill="1"/>
    <xf numFmtId="49" fontId="9" fillId="0" borderId="12" xfId="6" applyNumberFormat="1" applyFont="1" applyBorder="1" applyAlignment="1">
      <alignment horizontal="left"/>
    </xf>
    <xf numFmtId="187" fontId="10" fillId="8" borderId="6" xfId="4" applyNumberFormat="1" applyFont="1" applyFill="1" applyBorder="1"/>
    <xf numFmtId="187" fontId="10" fillId="8" borderId="6" xfId="4" applyNumberFormat="1" applyFont="1" applyFill="1" applyBorder="1" applyAlignment="1">
      <alignment horizontal="center" vertical="center"/>
    </xf>
    <xf numFmtId="3" fontId="9" fillId="0" borderId="20" xfId="6" applyNumberFormat="1" applyFont="1" applyFill="1" applyBorder="1"/>
    <xf numFmtId="192" fontId="10" fillId="8" borderId="6" xfId="4" applyNumberFormat="1" applyFont="1" applyFill="1" applyBorder="1"/>
    <xf numFmtId="190" fontId="10" fillId="8" borderId="6" xfId="4" applyNumberFormat="1" applyFont="1" applyFill="1" applyBorder="1"/>
    <xf numFmtId="191" fontId="10" fillId="8" borderId="6" xfId="4" applyNumberFormat="1" applyFont="1" applyFill="1" applyBorder="1"/>
    <xf numFmtId="192" fontId="10" fillId="4" borderId="6" xfId="4" applyNumberFormat="1" applyFont="1" applyFill="1" applyBorder="1" applyAlignment="1">
      <alignment vertical="center"/>
    </xf>
    <xf numFmtId="187" fontId="10" fillId="0" borderId="6" xfId="4" applyNumberFormat="1" applyFont="1" applyBorder="1" applyAlignment="1">
      <alignment horizontal="center" vertical="center"/>
    </xf>
    <xf numFmtId="4" fontId="9" fillId="0" borderId="12" xfId="5" applyNumberFormat="1" applyFont="1" applyFill="1" applyBorder="1" applyAlignment="1">
      <alignment vertical="center"/>
    </xf>
    <xf numFmtId="197" fontId="9" fillId="0" borderId="12" xfId="5" applyNumberFormat="1" applyFont="1" applyFill="1" applyBorder="1" applyAlignment="1">
      <alignment horizontal="center" vertical="center"/>
    </xf>
    <xf numFmtId="190" fontId="9" fillId="0" borderId="12" xfId="5" applyNumberFormat="1" applyFont="1" applyFill="1" applyBorder="1" applyAlignment="1">
      <alignment vertical="center"/>
    </xf>
    <xf numFmtId="190" fontId="9" fillId="0" borderId="15" xfId="5" applyNumberFormat="1" applyFont="1" applyFill="1" applyBorder="1" applyAlignment="1">
      <alignment vertical="center"/>
    </xf>
    <xf numFmtId="187" fontId="9" fillId="0" borderId="12" xfId="5" applyNumberFormat="1" applyFont="1" applyFill="1" applyBorder="1" applyAlignment="1">
      <alignment vertical="center"/>
    </xf>
    <xf numFmtId="190" fontId="9" fillId="0" borderId="9" xfId="5" applyNumberFormat="1" applyFont="1" applyFill="1" applyBorder="1" applyAlignment="1">
      <alignment vertical="center"/>
    </xf>
    <xf numFmtId="187" fontId="10" fillId="0" borderId="0" xfId="4" applyNumberFormat="1" applyFont="1" applyFill="1"/>
    <xf numFmtId="190" fontId="10" fillId="0" borderId="6" xfId="4" applyNumberFormat="1" applyFont="1" applyBorder="1" applyAlignment="1">
      <alignment horizontal="right" vertical="center"/>
    </xf>
    <xf numFmtId="190" fontId="10" fillId="0" borderId="6" xfId="4" applyNumberFormat="1" applyFont="1" applyBorder="1" applyAlignment="1">
      <alignment horizontal="center" vertical="center"/>
    </xf>
    <xf numFmtId="0" fontId="9" fillId="0" borderId="12" xfId="7" applyNumberFormat="1" applyFont="1" applyFill="1" applyBorder="1"/>
    <xf numFmtId="190" fontId="10" fillId="0" borderId="6" xfId="4" applyNumberFormat="1" applyFont="1" applyBorder="1"/>
    <xf numFmtId="194" fontId="10" fillId="6" borderId="6" xfId="4" applyNumberFormat="1" applyFont="1" applyFill="1" applyBorder="1"/>
    <xf numFmtId="189" fontId="10" fillId="6" borderId="6" xfId="4" applyNumberFormat="1" applyFont="1" applyFill="1" applyBorder="1"/>
    <xf numFmtId="0" fontId="11" fillId="0" borderId="7" xfId="4" applyNumberFormat="1" applyFont="1" applyFill="1" applyBorder="1" applyAlignment="1">
      <alignment horizontal="left" vertical="center"/>
    </xf>
    <xf numFmtId="4" fontId="9" fillId="0" borderId="12" xfId="10" applyNumberFormat="1" applyFont="1" applyBorder="1"/>
    <xf numFmtId="187" fontId="9" fillId="0" borderId="12" xfId="10" applyNumberFormat="1" applyFont="1" applyBorder="1" applyAlignment="1">
      <alignment horizontal="center"/>
    </xf>
    <xf numFmtId="190" fontId="9" fillId="0" borderId="12" xfId="4" applyNumberFormat="1" applyFont="1" applyBorder="1"/>
    <xf numFmtId="49" fontId="9" fillId="0" borderId="12" xfId="5" applyNumberFormat="1" applyFont="1" applyFill="1" applyBorder="1" applyAlignment="1">
      <alignment vertical="center"/>
    </xf>
    <xf numFmtId="196" fontId="9" fillId="0" borderId="12" xfId="4" applyNumberFormat="1" applyFont="1" applyFill="1" applyBorder="1" applyAlignment="1">
      <alignment vertical="center"/>
    </xf>
    <xf numFmtId="0" fontId="17" fillId="10" borderId="21" xfId="0" applyFont="1" applyFill="1" applyBorder="1" applyAlignment="1">
      <alignment horizontal="left" vertical="center" wrapText="1" readingOrder="1"/>
    </xf>
    <xf numFmtId="4" fontId="8" fillId="0" borderId="22" xfId="4" applyNumberFormat="1" applyFont="1" applyBorder="1"/>
    <xf numFmtId="187" fontId="8" fillId="0" borderId="22" xfId="4" applyNumberFormat="1" applyFont="1" applyBorder="1" applyAlignment="1">
      <alignment horizontal="center"/>
    </xf>
    <xf numFmtId="187" fontId="8" fillId="0" borderId="22" xfId="4" applyNumberFormat="1" applyFont="1" applyBorder="1"/>
    <xf numFmtId="0" fontId="19" fillId="10" borderId="22" xfId="0" applyFont="1" applyFill="1" applyBorder="1" applyAlignment="1">
      <alignment horizontal="left" vertical="center" wrapText="1" readingOrder="1"/>
    </xf>
    <xf numFmtId="0" fontId="20" fillId="0" borderId="22" xfId="0" applyFont="1" applyFill="1" applyBorder="1" applyAlignment="1">
      <alignment horizontal="left" vertical="center" wrapText="1" readingOrder="1"/>
    </xf>
    <xf numFmtId="187" fontId="8" fillId="0" borderId="23" xfId="4" applyNumberFormat="1" applyFont="1" applyBorder="1"/>
    <xf numFmtId="187" fontId="8" fillId="0" borderId="0" xfId="4" applyNumberFormat="1" applyFont="1"/>
    <xf numFmtId="0" fontId="21" fillId="11" borderId="6" xfId="0" applyFont="1" applyFill="1" applyBorder="1" applyAlignment="1">
      <alignment horizontal="left" vertical="center" wrapText="1" readingOrder="1"/>
    </xf>
    <xf numFmtId="0" fontId="17" fillId="0" borderId="0" xfId="0" applyFont="1" applyFill="1" applyBorder="1" applyAlignment="1">
      <alignment horizontal="left" vertical="center" wrapText="1" readingOrder="1"/>
    </xf>
    <xf numFmtId="190" fontId="8" fillId="0" borderId="0" xfId="4" applyNumberFormat="1" applyFont="1" applyBorder="1" applyAlignment="1">
      <alignment horizontal="center"/>
    </xf>
    <xf numFmtId="187" fontId="8" fillId="0" borderId="0" xfId="4" applyNumberFormat="1" applyFont="1" applyBorder="1"/>
    <xf numFmtId="2" fontId="21" fillId="11" borderId="6" xfId="0" applyNumberFormat="1" applyFont="1" applyFill="1" applyBorder="1" applyAlignment="1">
      <alignment horizontal="left" vertical="center" wrapText="1" readingOrder="1"/>
    </xf>
    <xf numFmtId="190" fontId="8" fillId="0" borderId="0" xfId="4" applyNumberFormat="1" applyFont="1"/>
    <xf numFmtId="190" fontId="8" fillId="0" borderId="0" xfId="4" applyNumberFormat="1" applyFont="1" applyBorder="1"/>
    <xf numFmtId="187" fontId="8" fillId="0" borderId="24" xfId="4" applyNumberFormat="1" applyFont="1" applyBorder="1"/>
    <xf numFmtId="0" fontId="22" fillId="0" borderId="0" xfId="0" applyFont="1" applyFill="1" applyBorder="1" applyAlignment="1">
      <alignment horizontal="left" vertical="center" wrapText="1" readingOrder="1"/>
    </xf>
    <xf numFmtId="0" fontId="21" fillId="0" borderId="25" xfId="0" applyFont="1" applyFill="1" applyBorder="1" applyAlignment="1">
      <alignment horizontal="left" vertical="center" wrapText="1" readingOrder="1"/>
    </xf>
    <xf numFmtId="190" fontId="8" fillId="0" borderId="25" xfId="4" applyNumberFormat="1" applyFont="1" applyBorder="1" applyAlignment="1">
      <alignment horizontal="center"/>
    </xf>
    <xf numFmtId="187" fontId="8" fillId="0" borderId="25" xfId="4" applyNumberFormat="1" applyFont="1" applyBorder="1"/>
    <xf numFmtId="4" fontId="21" fillId="11" borderId="6" xfId="0" applyNumberFormat="1" applyFont="1" applyFill="1" applyBorder="1" applyAlignment="1">
      <alignment horizontal="left" vertical="center" wrapText="1" readingOrder="1"/>
    </xf>
    <xf numFmtId="187" fontId="8" fillId="0" borderId="26" xfId="4" applyNumberFormat="1" applyFont="1" applyBorder="1"/>
    <xf numFmtId="0" fontId="23" fillId="0" borderId="11" xfId="0" applyFont="1"/>
    <xf numFmtId="4" fontId="8" fillId="0" borderId="0" xfId="4" applyNumberFormat="1" applyFont="1"/>
    <xf numFmtId="190" fontId="8" fillId="0" borderId="0" xfId="4" applyNumberFormat="1" applyFont="1" applyAlignment="1">
      <alignment horizontal="center"/>
    </xf>
    <xf numFmtId="187" fontId="8" fillId="0" borderId="0" xfId="4" applyNumberFormat="1" applyFont="1" applyAlignment="1">
      <alignment horizontal="center"/>
    </xf>
    <xf numFmtId="0" fontId="50" fillId="0" borderId="25" xfId="5" applyFont="1" applyBorder="1" applyAlignment="1">
      <alignment horizontal="right" vertical="center"/>
    </xf>
    <xf numFmtId="0" fontId="51" fillId="0" borderId="0" xfId="5" applyFont="1"/>
    <xf numFmtId="0" fontId="51" fillId="0" borderId="0" xfId="5" applyFont="1" applyAlignment="1">
      <alignment horizontal="center" vertical="center"/>
    </xf>
    <xf numFmtId="0" fontId="51" fillId="0" borderId="0" xfId="5" applyFont="1" applyAlignment="1">
      <alignment vertical="center"/>
    </xf>
    <xf numFmtId="0" fontId="51" fillId="0" borderId="9" xfId="5" applyFont="1" applyBorder="1" applyAlignment="1">
      <alignment horizontal="right" vertical="top"/>
    </xf>
    <xf numFmtId="0" fontId="50" fillId="0" borderId="0" xfId="5" applyFont="1" applyAlignment="1">
      <alignment vertical="center"/>
    </xf>
    <xf numFmtId="190" fontId="50" fillId="0" borderId="0" xfId="5" applyNumberFormat="1" applyFont="1" applyAlignment="1">
      <alignment vertical="center"/>
    </xf>
    <xf numFmtId="0" fontId="51" fillId="0" borderId="44" xfId="5" applyFont="1" applyBorder="1" applyAlignment="1">
      <alignment horizontal="center" vertical="top"/>
    </xf>
    <xf numFmtId="0" fontId="51" fillId="0" borderId="0" xfId="5" applyFont="1" applyAlignment="1">
      <alignment vertical="top"/>
    </xf>
    <xf numFmtId="190" fontId="51" fillId="0" borderId="0" xfId="5" applyNumberFormat="1" applyFont="1" applyAlignment="1">
      <alignment vertical="top"/>
    </xf>
    <xf numFmtId="43" fontId="51" fillId="0" borderId="0" xfId="1" applyFont="1" applyAlignment="1">
      <alignment vertical="top"/>
    </xf>
    <xf numFmtId="0" fontId="51" fillId="0" borderId="10" xfId="5" applyFont="1" applyBorder="1" applyAlignment="1">
      <alignment horizontal="center"/>
    </xf>
    <xf numFmtId="0" fontId="51" fillId="0" borderId="12" xfId="5" applyFont="1" applyBorder="1" applyAlignment="1">
      <alignment horizontal="center" vertical="top"/>
    </xf>
    <xf numFmtId="0" fontId="51" fillId="0" borderId="15" xfId="5" applyFont="1" applyBorder="1" applyAlignment="1">
      <alignment horizontal="right"/>
    </xf>
    <xf numFmtId="9" fontId="51" fillId="0" borderId="20" xfId="6" applyNumberFormat="1" applyFont="1" applyBorder="1" applyAlignment="1">
      <alignment horizontal="left"/>
    </xf>
    <xf numFmtId="0" fontId="51" fillId="0" borderId="12" xfId="5" applyFont="1" applyBorder="1" applyAlignment="1">
      <alignment horizontal="center"/>
    </xf>
    <xf numFmtId="0" fontId="51" fillId="0" borderId="50" xfId="5" applyFont="1" applyBorder="1" applyAlignment="1">
      <alignment horizontal="center"/>
    </xf>
    <xf numFmtId="0" fontId="50" fillId="0" borderId="8" xfId="5" applyFont="1" applyBorder="1" applyAlignment="1">
      <alignment horizontal="center"/>
    </xf>
    <xf numFmtId="0" fontId="50" fillId="0" borderId="51" xfId="5" applyFont="1" applyBorder="1"/>
    <xf numFmtId="0" fontId="50" fillId="0" borderId="52" xfId="5" applyFont="1" applyBorder="1"/>
    <xf numFmtId="0" fontId="51" fillId="0" borderId="11" xfId="5" applyFont="1" applyBorder="1"/>
    <xf numFmtId="0" fontId="51" fillId="0" borderId="11" xfId="5" applyFont="1" applyBorder="1" applyAlignment="1">
      <alignment vertical="center"/>
    </xf>
    <xf numFmtId="0" fontId="51" fillId="0" borderId="25" xfId="5" applyFont="1" applyBorder="1"/>
    <xf numFmtId="43" fontId="51" fillId="0" borderId="57" xfId="1" applyFont="1" applyBorder="1" applyAlignment="1">
      <alignment vertical="center"/>
    </xf>
    <xf numFmtId="0" fontId="0" fillId="0" borderId="57" xfId="0" applyBorder="1" applyAlignment="1"/>
    <xf numFmtId="0" fontId="51" fillId="0" borderId="0" xfId="5" applyFont="1" applyBorder="1" applyAlignment="1">
      <alignment vertical="center"/>
    </xf>
    <xf numFmtId="0" fontId="51" fillId="0" borderId="0" xfId="5" applyFont="1" applyBorder="1"/>
    <xf numFmtId="0" fontId="51" fillId="0" borderId="0" xfId="5" applyFont="1" applyBorder="1" applyAlignment="1">
      <alignment horizontal="left" vertical="center"/>
    </xf>
    <xf numFmtId="0" fontId="51" fillId="0" borderId="0" xfId="6" applyFont="1" applyBorder="1" applyAlignment="1"/>
    <xf numFmtId="0" fontId="0" fillId="0" borderId="0" xfId="0" applyBorder="1"/>
    <xf numFmtId="0" fontId="0" fillId="0" borderId="22" xfId="0" applyBorder="1"/>
    <xf numFmtId="0" fontId="51" fillId="0" borderId="0" xfId="69" applyFont="1" applyBorder="1" applyAlignment="1">
      <alignment horizontal="left" vertical="top"/>
    </xf>
    <xf numFmtId="0" fontId="54" fillId="0" borderId="0" xfId="69" applyFont="1" applyBorder="1" applyAlignment="1">
      <alignment horizontal="center" vertical="top"/>
    </xf>
    <xf numFmtId="0" fontId="51" fillId="0" borderId="0" xfId="69" applyFont="1" applyBorder="1"/>
    <xf numFmtId="0" fontId="58" fillId="5" borderId="0" xfId="69" applyFont="1" applyFill="1" applyBorder="1" applyAlignment="1">
      <alignment vertical="top"/>
    </xf>
    <xf numFmtId="0" fontId="51" fillId="0" borderId="0" xfId="69" applyFont="1"/>
    <xf numFmtId="0" fontId="56" fillId="5" borderId="0" xfId="69" applyFont="1" applyFill="1" applyAlignment="1">
      <alignment vertical="top"/>
    </xf>
    <xf numFmtId="0" fontId="7" fillId="5" borderId="0" xfId="69" applyFont="1" applyFill="1" applyAlignment="1" applyProtection="1">
      <alignment vertical="top"/>
      <protection hidden="1"/>
    </xf>
    <xf numFmtId="0" fontId="57" fillId="5" borderId="0" xfId="69" applyFont="1" applyFill="1"/>
    <xf numFmtId="0" fontId="51" fillId="0" borderId="0" xfId="75" applyNumberFormat="1" applyFont="1" applyAlignment="1">
      <alignment horizontal="right"/>
    </xf>
    <xf numFmtId="190" fontId="51" fillId="0" borderId="0" xfId="75" applyFont="1"/>
    <xf numFmtId="0" fontId="51" fillId="0" borderId="0" xfId="75" applyNumberFormat="1" applyFont="1" applyAlignment="1">
      <alignment horizontal="center"/>
    </xf>
    <xf numFmtId="190" fontId="51" fillId="0" borderId="0" xfId="75" applyFont="1" applyAlignment="1"/>
    <xf numFmtId="0" fontId="51" fillId="0" borderId="0" xfId="76" applyNumberFormat="1" applyFont="1" applyAlignment="1">
      <alignment horizontal="right" vertical="center"/>
    </xf>
    <xf numFmtId="190" fontId="51" fillId="0" borderId="0" xfId="76" applyFont="1" applyAlignment="1">
      <alignment vertical="center"/>
    </xf>
    <xf numFmtId="0" fontId="51" fillId="0" borderId="0" xfId="74" applyNumberFormat="1" applyFont="1" applyAlignment="1">
      <alignment horizontal="center" vertical="center"/>
    </xf>
    <xf numFmtId="0" fontId="51" fillId="0" borderId="0" xfId="76" applyNumberFormat="1" applyFont="1" applyAlignment="1">
      <alignment vertical="center"/>
    </xf>
    <xf numFmtId="0" fontId="51" fillId="0" borderId="0" xfId="75" applyNumberFormat="1" applyFont="1"/>
    <xf numFmtId="0" fontId="51" fillId="0" borderId="11" xfId="6" applyFont="1" applyFill="1"/>
    <xf numFmtId="0" fontId="51" fillId="0" borderId="11" xfId="6" applyFont="1"/>
    <xf numFmtId="190" fontId="50" fillId="0" borderId="0" xfId="75" applyFont="1"/>
    <xf numFmtId="0" fontId="51" fillId="0" borderId="0" xfId="74" applyNumberFormat="1" applyFont="1" applyAlignment="1">
      <alignment horizontal="right"/>
    </xf>
    <xf numFmtId="190" fontId="51" fillId="0" borderId="0" xfId="74" applyFont="1"/>
    <xf numFmtId="0" fontId="51" fillId="0" borderId="0" xfId="74" applyNumberFormat="1" applyFont="1" applyAlignment="1">
      <alignment horizontal="center"/>
    </xf>
    <xf numFmtId="190" fontId="51" fillId="0" borderId="0" xfId="74" applyFont="1" applyAlignment="1"/>
    <xf numFmtId="0" fontId="51" fillId="0" borderId="0" xfId="74" applyNumberFormat="1" applyFont="1"/>
    <xf numFmtId="0" fontId="51" fillId="0" borderId="0" xfId="5" applyFont="1" applyAlignment="1">
      <alignment horizontal="right"/>
    </xf>
    <xf numFmtId="0" fontId="51" fillId="0" borderId="0" xfId="5" applyFont="1" applyAlignment="1">
      <alignment horizontal="center"/>
    </xf>
    <xf numFmtId="0" fontId="50" fillId="0" borderId="0" xfId="5" applyFont="1"/>
    <xf numFmtId="187" fontId="3" fillId="3" borderId="0" xfId="1" applyNumberFormat="1" applyFont="1" applyFill="1" applyBorder="1" applyAlignment="1">
      <alignment vertical="center"/>
    </xf>
    <xf numFmtId="187" fontId="9" fillId="2" borderId="0" xfId="4" applyNumberFormat="1" applyFont="1" applyFill="1" applyBorder="1" applyAlignment="1">
      <alignment horizontal="center" vertical="center"/>
    </xf>
    <xf numFmtId="0" fontId="9" fillId="0" borderId="0" xfId="5" applyFont="1" applyBorder="1" applyAlignment="1">
      <alignment horizontal="center" vertical="center"/>
    </xf>
    <xf numFmtId="187" fontId="11" fillId="0" borderId="0" xfId="4" applyNumberFormat="1" applyFont="1" applyFill="1" applyBorder="1" applyAlignment="1">
      <alignment horizontal="center" vertical="center"/>
    </xf>
    <xf numFmtId="0" fontId="11" fillId="0" borderId="0" xfId="5" applyNumberFormat="1" applyFont="1" applyFill="1" applyBorder="1" applyAlignment="1">
      <alignment horizontal="center" vertical="center"/>
    </xf>
    <xf numFmtId="187" fontId="9" fillId="5" borderId="0" xfId="4" applyNumberFormat="1" applyFont="1" applyFill="1" applyBorder="1" applyAlignment="1">
      <alignment horizontal="center" vertical="center"/>
    </xf>
    <xf numFmtId="187" fontId="9" fillId="0" borderId="0" xfId="4" applyNumberFormat="1" applyFont="1" applyFill="1" applyBorder="1" applyAlignment="1">
      <alignment horizontal="center" vertical="center"/>
    </xf>
    <xf numFmtId="187" fontId="9" fillId="0" borderId="0" xfId="4" applyNumberFormat="1" applyFont="1" applyFill="1" applyBorder="1" applyAlignment="1">
      <alignment vertical="center"/>
    </xf>
    <xf numFmtId="0" fontId="11" fillId="0" borderId="0" xfId="4" applyNumberFormat="1" applyFont="1" applyFill="1" applyBorder="1" applyAlignment="1">
      <alignment vertical="center"/>
    </xf>
    <xf numFmtId="187" fontId="11" fillId="0" borderId="0" xfId="4" applyNumberFormat="1" applyFont="1" applyFill="1" applyBorder="1" applyAlignment="1">
      <alignment vertical="center"/>
    </xf>
    <xf numFmtId="187" fontId="9" fillId="0" borderId="0" xfId="4" applyNumberFormat="1" applyFont="1" applyFill="1" applyBorder="1" applyAlignment="1">
      <alignment vertical="top"/>
    </xf>
    <xf numFmtId="3" fontId="9" fillId="0" borderId="0" xfId="6" applyNumberFormat="1" applyFont="1" applyFill="1" applyBorder="1"/>
    <xf numFmtId="3" fontId="9" fillId="0" borderId="0" xfId="6" applyNumberFormat="1" applyFont="1" applyBorder="1"/>
    <xf numFmtId="0" fontId="9" fillId="0" borderId="0" xfId="4" applyNumberFormat="1" applyFont="1" applyFill="1" applyBorder="1"/>
    <xf numFmtId="0" fontId="9" fillId="0" borderId="0" xfId="7" applyNumberFormat="1" applyFont="1" applyFill="1" applyBorder="1"/>
    <xf numFmtId="4" fontId="11" fillId="0" borderId="0" xfId="6" applyNumberFormat="1" applyFont="1" applyFill="1" applyBorder="1" applyAlignment="1">
      <alignment horizontal="right" vertical="center"/>
    </xf>
    <xf numFmtId="4" fontId="9" fillId="0" borderId="0" xfId="6" applyNumberFormat="1" applyFont="1" applyFill="1" applyBorder="1" applyAlignment="1">
      <alignment horizontal="right" vertical="center"/>
    </xf>
    <xf numFmtId="0" fontId="3" fillId="0" borderId="0" xfId="2" applyFont="1" applyAlignment="1"/>
    <xf numFmtId="0" fontId="61" fillId="0" borderId="0" xfId="0" applyFont="1" applyBorder="1" applyAlignment="1">
      <alignment horizontal="right"/>
    </xf>
    <xf numFmtId="187" fontId="3" fillId="2" borderId="0" xfId="1" applyNumberFormat="1" applyFont="1" applyFill="1" applyBorder="1"/>
    <xf numFmtId="187" fontId="3" fillId="0" borderId="1" xfId="1" applyNumberFormat="1" applyFont="1" applyFill="1" applyBorder="1" applyAlignment="1">
      <alignment vertical="center"/>
    </xf>
    <xf numFmtId="0" fontId="9" fillId="0" borderId="7" xfId="5" applyFont="1" applyBorder="1" applyAlignment="1">
      <alignment horizontal="center" vertical="center"/>
    </xf>
    <xf numFmtId="4" fontId="9" fillId="0" borderId="7" xfId="5" applyNumberFormat="1" applyFont="1" applyBorder="1" applyAlignment="1">
      <alignment horizontal="center" vertical="center"/>
    </xf>
    <xf numFmtId="187" fontId="9" fillId="0" borderId="7" xfId="4" applyNumberFormat="1" applyFont="1" applyBorder="1" applyAlignment="1">
      <alignment vertical="center"/>
    </xf>
    <xf numFmtId="187" fontId="9" fillId="0" borderId="7" xfId="4" applyNumberFormat="1" applyFont="1" applyBorder="1" applyAlignment="1">
      <alignment horizontal="center" vertical="center"/>
    </xf>
    <xf numFmtId="187" fontId="9" fillId="2" borderId="7" xfId="4" applyNumberFormat="1" applyFont="1" applyFill="1" applyBorder="1" applyAlignment="1">
      <alignment horizontal="center" vertical="center"/>
    </xf>
    <xf numFmtId="0" fontId="12" fillId="0" borderId="7" xfId="5" applyFont="1" applyBorder="1" applyAlignment="1">
      <alignment horizontal="center" vertical="center"/>
    </xf>
    <xf numFmtId="0" fontId="51" fillId="0" borderId="9" xfId="5" applyFont="1" applyBorder="1" applyAlignment="1">
      <alignment horizontal="center" vertical="top"/>
    </xf>
    <xf numFmtId="187" fontId="9" fillId="2" borderId="2" xfId="4" applyNumberFormat="1" applyFont="1" applyFill="1" applyBorder="1" applyAlignment="1">
      <alignment horizontal="center" vertical="center"/>
    </xf>
    <xf numFmtId="0" fontId="51" fillId="0" borderId="0" xfId="69" applyFont="1" applyBorder="1" applyAlignment="1">
      <alignment horizontal="center" vertical="top"/>
    </xf>
    <xf numFmtId="0" fontId="55" fillId="0" borderId="0" xfId="69" applyFont="1" applyBorder="1" applyAlignment="1" applyProtection="1">
      <alignment vertical="top"/>
      <protection hidden="1"/>
    </xf>
    <xf numFmtId="0" fontId="56" fillId="5" borderId="0" xfId="69" applyFont="1" applyFill="1" applyAlignment="1" applyProtection="1">
      <alignment horizontal="center" vertical="top"/>
      <protection hidden="1"/>
    </xf>
    <xf numFmtId="0" fontId="7" fillId="5" borderId="0" xfId="69" applyFont="1" applyFill="1" applyBorder="1" applyAlignment="1" applyProtection="1">
      <alignment vertical="top"/>
      <protection hidden="1"/>
    </xf>
    <xf numFmtId="0" fontId="56" fillId="5" borderId="0" xfId="69" applyFont="1" applyFill="1" applyAlignment="1">
      <alignment horizontal="center" vertical="top"/>
    </xf>
    <xf numFmtId="0" fontId="57" fillId="5" borderId="0" xfId="69" applyFont="1" applyFill="1" applyBorder="1" applyAlignment="1">
      <alignment horizontal="center" vertical="top"/>
    </xf>
    <xf numFmtId="0" fontId="58" fillId="5" borderId="0" xfId="69" applyFont="1" applyFill="1" applyBorder="1" applyAlignment="1">
      <alignment horizontal="center" vertical="top"/>
    </xf>
    <xf numFmtId="0" fontId="51" fillId="0" borderId="11" xfId="6" applyFont="1" applyBorder="1" applyAlignment="1"/>
    <xf numFmtId="0" fontId="51" fillId="0" borderId="11" xfId="6" applyFont="1" applyBorder="1" applyAlignment="1">
      <alignment vertical="top"/>
    </xf>
    <xf numFmtId="0" fontId="51" fillId="0" borderId="48" xfId="6" applyFont="1" applyBorder="1" applyAlignment="1">
      <alignment vertical="top"/>
    </xf>
    <xf numFmtId="0" fontId="51" fillId="0" borderId="15" xfId="5" applyFont="1" applyBorder="1" applyAlignment="1">
      <alignment horizontal="center"/>
    </xf>
    <xf numFmtId="0" fontId="51" fillId="0" borderId="9" xfId="5" applyFont="1" applyBorder="1" applyAlignment="1">
      <alignment horizontal="center"/>
    </xf>
    <xf numFmtId="0" fontId="51" fillId="0" borderId="20" xfId="5" applyFont="1" applyBorder="1" applyAlignment="1">
      <alignment horizontal="center"/>
    </xf>
    <xf numFmtId="0" fontId="51" fillId="0" borderId="15" xfId="5" applyFont="1" applyBorder="1" applyAlignment="1"/>
    <xf numFmtId="0" fontId="51" fillId="0" borderId="20" xfId="6" applyFont="1" applyBorder="1" applyAlignment="1"/>
    <xf numFmtId="190" fontId="51" fillId="0" borderId="19" xfId="74" applyFont="1" applyBorder="1" applyAlignment="1">
      <alignment horizontal="left" vertical="top"/>
    </xf>
    <xf numFmtId="0" fontId="51" fillId="0" borderId="9" xfId="6" applyFont="1" applyBorder="1" applyAlignment="1">
      <alignment vertical="top"/>
    </xf>
    <xf numFmtId="0" fontId="51" fillId="0" borderId="11" xfId="5" applyFont="1" applyBorder="1" applyAlignment="1">
      <alignment vertical="top"/>
    </xf>
    <xf numFmtId="0" fontId="51" fillId="0" borderId="9" xfId="5" applyFont="1" applyBorder="1" applyAlignment="1">
      <alignment vertical="top"/>
    </xf>
    <xf numFmtId="0" fontId="9" fillId="0" borderId="8" xfId="4" applyNumberFormat="1" applyFont="1" applyFill="1" applyBorder="1" applyAlignment="1">
      <alignment horizontal="left" vertical="center"/>
    </xf>
    <xf numFmtId="187" fontId="10" fillId="0" borderId="0" xfId="9" applyNumberFormat="1" applyFont="1" applyFill="1" applyBorder="1" applyAlignment="1"/>
    <xf numFmtId="187" fontId="13" fillId="0" borderId="0" xfId="4" applyNumberFormat="1" applyFont="1" applyAlignment="1">
      <alignment horizontal="center"/>
    </xf>
    <xf numFmtId="191" fontId="10" fillId="6" borderId="0" xfId="4" applyNumberFormat="1" applyFont="1" applyFill="1"/>
    <xf numFmtId="194" fontId="10" fillId="6" borderId="0" xfId="4" applyNumberFormat="1" applyFont="1" applyFill="1"/>
    <xf numFmtId="192" fontId="10" fillId="6" borderId="0" xfId="4" applyNumberFormat="1" applyFont="1" applyFill="1"/>
    <xf numFmtId="189" fontId="10" fillId="6" borderId="0" xfId="4" applyFont="1" applyFill="1"/>
    <xf numFmtId="187" fontId="10" fillId="6" borderId="0" xfId="4" applyNumberFormat="1" applyFont="1" applyFill="1"/>
    <xf numFmtId="0" fontId="62" fillId="0" borderId="25" xfId="5" applyFont="1" applyBorder="1" applyAlignment="1">
      <alignment horizontal="right" vertical="center"/>
    </xf>
    <xf numFmtId="0" fontId="63" fillId="0" borderId="0" xfId="5" applyFont="1"/>
    <xf numFmtId="0" fontId="63" fillId="0" borderId="0" xfId="5" applyFont="1" applyAlignment="1">
      <alignment horizontal="center" vertical="center"/>
    </xf>
    <xf numFmtId="0" fontId="63" fillId="0" borderId="0" xfId="5" applyFont="1" applyAlignment="1">
      <alignment vertical="center"/>
    </xf>
    <xf numFmtId="0" fontId="63" fillId="0" borderId="9" xfId="5" applyFont="1" applyBorder="1" applyAlignment="1">
      <alignment horizontal="center"/>
    </xf>
    <xf numFmtId="0" fontId="63" fillId="0" borderId="9" xfId="5" applyFont="1" applyBorder="1" applyAlignment="1">
      <alignment vertical="top"/>
    </xf>
    <xf numFmtId="0" fontId="63" fillId="0" borderId="9" xfId="6" applyFont="1" applyBorder="1" applyAlignment="1">
      <alignment vertical="top"/>
    </xf>
    <xf numFmtId="0" fontId="63" fillId="0" borderId="9" xfId="5" applyFont="1" applyBorder="1" applyAlignment="1">
      <alignment horizontal="right" vertical="top"/>
    </xf>
    <xf numFmtId="0" fontId="63" fillId="0" borderId="9" xfId="5" applyFont="1" applyBorder="1" applyAlignment="1">
      <alignment horizontal="center" vertical="top"/>
    </xf>
    <xf numFmtId="0" fontId="62" fillId="0" borderId="0" xfId="5" applyFont="1" applyAlignment="1">
      <alignment vertical="center"/>
    </xf>
    <xf numFmtId="190" fontId="62" fillId="0" borderId="0" xfId="5" applyNumberFormat="1" applyFont="1" applyAlignment="1">
      <alignment vertical="center"/>
    </xf>
    <xf numFmtId="0" fontId="63" fillId="0" borderId="44" xfId="5" applyFont="1" applyBorder="1" applyAlignment="1">
      <alignment horizontal="center" vertical="top"/>
    </xf>
    <xf numFmtId="0" fontId="63" fillId="0" borderId="0" xfId="5" applyFont="1" applyAlignment="1">
      <alignment vertical="top"/>
    </xf>
    <xf numFmtId="190" fontId="63" fillId="0" borderId="0" xfId="5" applyNumberFormat="1" applyFont="1" applyAlignment="1">
      <alignment vertical="top"/>
    </xf>
    <xf numFmtId="43" fontId="63" fillId="0" borderId="0" xfId="1" applyFont="1" applyAlignment="1">
      <alignment vertical="top"/>
    </xf>
    <xf numFmtId="0" fontId="63" fillId="0" borderId="10" xfId="5" applyFont="1" applyBorder="1" applyAlignment="1">
      <alignment horizontal="center"/>
    </xf>
    <xf numFmtId="0" fontId="63" fillId="0" borderId="12" xfId="5" applyFont="1" applyBorder="1" applyAlignment="1">
      <alignment horizontal="center" vertical="top"/>
    </xf>
    <xf numFmtId="0" fontId="63" fillId="0" borderId="15" xfId="5" applyFont="1" applyBorder="1" applyAlignment="1"/>
    <xf numFmtId="0" fontId="63" fillId="0" borderId="20" xfId="6" applyFont="1" applyBorder="1" applyAlignment="1"/>
    <xf numFmtId="190" fontId="63" fillId="0" borderId="19" xfId="74" applyFont="1" applyBorder="1" applyAlignment="1">
      <alignment horizontal="left" vertical="top"/>
    </xf>
    <xf numFmtId="0" fontId="63" fillId="0" borderId="11" xfId="6" applyFont="1" applyBorder="1" applyAlignment="1">
      <alignment vertical="top"/>
    </xf>
    <xf numFmtId="0" fontId="63" fillId="0" borderId="48" xfId="6" applyFont="1" applyBorder="1" applyAlignment="1">
      <alignment vertical="top"/>
    </xf>
    <xf numFmtId="0" fontId="63" fillId="0" borderId="15" xfId="5" applyFont="1" applyBorder="1" applyAlignment="1">
      <alignment horizontal="center"/>
    </xf>
    <xf numFmtId="0" fontId="63" fillId="0" borderId="20" xfId="5" applyFont="1" applyBorder="1" applyAlignment="1">
      <alignment horizontal="center"/>
    </xf>
    <xf numFmtId="0" fontId="63" fillId="0" borderId="15" xfId="5" applyFont="1" applyBorder="1" applyAlignment="1">
      <alignment horizontal="right"/>
    </xf>
    <xf numFmtId="9" fontId="63" fillId="0" borderId="20" xfId="6" applyNumberFormat="1" applyFont="1" applyBorder="1" applyAlignment="1">
      <alignment horizontal="left"/>
    </xf>
    <xf numFmtId="0" fontId="63" fillId="0" borderId="12" xfId="5" applyFont="1" applyBorder="1" applyAlignment="1">
      <alignment horizontal="center"/>
    </xf>
    <xf numFmtId="0" fontId="63" fillId="0" borderId="50" xfId="5" applyFont="1" applyBorder="1" applyAlignment="1">
      <alignment horizontal="center"/>
    </xf>
    <xf numFmtId="0" fontId="62" fillId="0" borderId="8" xfId="5" applyFont="1" applyBorder="1" applyAlignment="1">
      <alignment horizontal="center"/>
    </xf>
    <xf numFmtId="0" fontId="62" fillId="0" borderId="51" xfId="5" applyFont="1" applyBorder="1"/>
    <xf numFmtId="0" fontId="62" fillId="0" borderId="52" xfId="5" applyFont="1" applyBorder="1"/>
    <xf numFmtId="0" fontId="63" fillId="0" borderId="0" xfId="5" applyFont="1" applyBorder="1"/>
    <xf numFmtId="0" fontId="63" fillId="0" borderId="0" xfId="5" applyFont="1" applyBorder="1" applyAlignment="1">
      <alignment horizontal="left" vertical="center"/>
    </xf>
    <xf numFmtId="0" fontId="63" fillId="0" borderId="0" xfId="6" applyFont="1" applyBorder="1" applyAlignment="1"/>
    <xf numFmtId="0" fontId="63" fillId="0" borderId="0" xfId="5" applyFont="1" applyBorder="1" applyAlignment="1">
      <alignment vertical="center"/>
    </xf>
    <xf numFmtId="0" fontId="5" fillId="0" borderId="0" xfId="0" applyFont="1" applyBorder="1"/>
    <xf numFmtId="0" fontId="5" fillId="0" borderId="22" xfId="0" applyFont="1" applyBorder="1"/>
    <xf numFmtId="0" fontId="63" fillId="0" borderId="0" xfId="69" applyFont="1" applyBorder="1" applyAlignment="1">
      <alignment horizontal="center" vertical="top"/>
    </xf>
    <xf numFmtId="0" fontId="63" fillId="0" borderId="0" xfId="69" applyFont="1" applyBorder="1" applyAlignment="1">
      <alignment horizontal="left" vertical="top"/>
    </xf>
    <xf numFmtId="0" fontId="67" fillId="0" borderId="0" xfId="69" applyFont="1" applyBorder="1" applyAlignment="1">
      <alignment horizontal="center" vertical="top"/>
    </xf>
    <xf numFmtId="0" fontId="63" fillId="0" borderId="0" xfId="69" applyFont="1" applyBorder="1"/>
    <xf numFmtId="0" fontId="63" fillId="0" borderId="0" xfId="75" applyNumberFormat="1" applyFont="1" applyAlignment="1">
      <alignment horizontal="right"/>
    </xf>
    <xf numFmtId="190" fontId="63" fillId="0" borderId="0" xfId="75" applyFont="1"/>
    <xf numFmtId="0" fontId="63" fillId="0" borderId="0" xfId="75" applyNumberFormat="1" applyFont="1" applyAlignment="1">
      <alignment horizontal="center"/>
    </xf>
    <xf numFmtId="190" fontId="63" fillId="0" borderId="0" xfId="75" applyFont="1" applyAlignment="1"/>
    <xf numFmtId="0" fontId="63" fillId="0" borderId="0" xfId="76" applyNumberFormat="1" applyFont="1" applyAlignment="1">
      <alignment horizontal="right" vertical="center"/>
    </xf>
    <xf numFmtId="190" fontId="63" fillId="0" borderId="0" xfId="76" applyFont="1" applyAlignment="1">
      <alignment vertical="center"/>
    </xf>
    <xf numFmtId="0" fontId="63" fillId="0" borderId="0" xfId="74" applyNumberFormat="1" applyFont="1" applyAlignment="1">
      <alignment horizontal="center" vertical="center"/>
    </xf>
    <xf numFmtId="0" fontId="63" fillId="0" borderId="0" xfId="76" applyNumberFormat="1" applyFont="1" applyAlignment="1">
      <alignment vertical="center"/>
    </xf>
    <xf numFmtId="0" fontId="63" fillId="0" borderId="0" xfId="75" applyNumberFormat="1" applyFont="1"/>
    <xf numFmtId="190" fontId="62" fillId="0" borderId="0" xfId="75" applyFont="1"/>
    <xf numFmtId="0" fontId="63" fillId="0" borderId="0" xfId="74" applyNumberFormat="1" applyFont="1" applyAlignment="1">
      <alignment horizontal="right"/>
    </xf>
    <xf numFmtId="190" fontId="63" fillId="0" borderId="0" xfId="74" applyFont="1"/>
    <xf numFmtId="0" fontId="63" fillId="0" borderId="0" xfId="74" applyNumberFormat="1" applyFont="1" applyAlignment="1">
      <alignment horizontal="center"/>
    </xf>
    <xf numFmtId="190" fontId="63" fillId="0" borderId="0" xfId="74" applyFont="1" applyAlignment="1"/>
    <xf numFmtId="0" fontId="63" fillId="0" borderId="0" xfId="74" applyNumberFormat="1" applyFont="1"/>
    <xf numFmtId="0" fontId="63" fillId="0" borderId="0" xfId="5" applyFont="1" applyAlignment="1">
      <alignment horizontal="right"/>
    </xf>
    <xf numFmtId="0" fontId="63" fillId="0" borderId="0" xfId="5" applyFont="1" applyAlignment="1">
      <alignment horizontal="center"/>
    </xf>
    <xf numFmtId="0" fontId="62" fillId="0" borderId="0" xfId="5" applyFont="1"/>
    <xf numFmtId="0" fontId="69" fillId="0" borderId="0" xfId="0" applyFont="1" applyBorder="1" applyAlignment="1">
      <alignment horizontal="right"/>
    </xf>
    <xf numFmtId="0" fontId="68" fillId="0" borderId="0" xfId="2" applyFont="1" applyAlignment="1"/>
    <xf numFmtId="187" fontId="68" fillId="2" borderId="0" xfId="1" applyNumberFormat="1" applyFont="1" applyFill="1" applyAlignment="1"/>
    <xf numFmtId="187" fontId="68" fillId="2" borderId="0" xfId="1" applyNumberFormat="1" applyFont="1" applyFill="1"/>
    <xf numFmtId="187" fontId="68" fillId="2" borderId="0" xfId="1" applyNumberFormat="1" applyFont="1" applyFill="1" applyAlignment="1">
      <alignment horizontal="center"/>
    </xf>
    <xf numFmtId="187" fontId="68" fillId="2" borderId="0" xfId="1" applyNumberFormat="1" applyFont="1" applyFill="1" applyBorder="1"/>
    <xf numFmtId="187" fontId="68" fillId="2" borderId="0" xfId="3" applyNumberFormat="1" applyFont="1" applyFill="1" applyAlignment="1">
      <alignment vertical="center"/>
    </xf>
    <xf numFmtId="187" fontId="68" fillId="2" borderId="0" xfId="3" applyNumberFormat="1" applyFont="1" applyFill="1"/>
    <xf numFmtId="187" fontId="68" fillId="2" borderId="0" xfId="3" applyNumberFormat="1" applyFont="1" applyFill="1" applyAlignment="1">
      <alignment horizontal="center"/>
    </xf>
    <xf numFmtId="187" fontId="68" fillId="3" borderId="0" xfId="1" applyNumberFormat="1" applyFont="1" applyFill="1" applyAlignment="1">
      <alignment vertical="center"/>
    </xf>
    <xf numFmtId="187" fontId="68" fillId="2" borderId="0" xfId="3" applyNumberFormat="1" applyFont="1" applyFill="1" applyAlignment="1">
      <alignment horizontal="center" vertical="center"/>
    </xf>
    <xf numFmtId="187" fontId="68" fillId="3" borderId="1" xfId="1" applyNumberFormat="1" applyFont="1" applyFill="1" applyBorder="1" applyAlignment="1">
      <alignment vertical="center"/>
    </xf>
    <xf numFmtId="187" fontId="68" fillId="0" borderId="1" xfId="1" applyNumberFormat="1" applyFont="1" applyFill="1" applyBorder="1" applyAlignment="1">
      <alignment vertical="center"/>
    </xf>
    <xf numFmtId="187" fontId="68" fillId="3" borderId="0" xfId="1" applyNumberFormat="1" applyFont="1" applyFill="1" applyBorder="1" applyAlignment="1">
      <alignment vertical="center"/>
    </xf>
    <xf numFmtId="187" fontId="68" fillId="0" borderId="0" xfId="1" applyNumberFormat="1" applyFont="1" applyFill="1" applyAlignment="1">
      <alignment vertical="center"/>
    </xf>
    <xf numFmtId="187" fontId="70" fillId="2" borderId="2" xfId="4" applyNumberFormat="1" applyFont="1" applyFill="1" applyBorder="1" applyAlignment="1">
      <alignment horizontal="center" vertical="center"/>
    </xf>
    <xf numFmtId="187" fontId="70" fillId="2" borderId="0" xfId="4" applyNumberFormat="1" applyFont="1" applyFill="1" applyBorder="1" applyAlignment="1">
      <alignment horizontal="center" vertical="center"/>
    </xf>
    <xf numFmtId="187" fontId="70" fillId="0" borderId="6" xfId="4" applyNumberFormat="1" applyFont="1" applyBorder="1" applyAlignment="1">
      <alignment vertical="center"/>
    </xf>
    <xf numFmtId="187" fontId="70" fillId="0" borderId="6" xfId="4" applyNumberFormat="1" applyFont="1" applyBorder="1" applyAlignment="1">
      <alignment horizontal="center" vertical="center"/>
    </xf>
    <xf numFmtId="187" fontId="70" fillId="2" borderId="5" xfId="4" applyNumberFormat="1" applyFont="1" applyFill="1" applyBorder="1" applyAlignment="1">
      <alignment horizontal="center" vertical="center"/>
    </xf>
    <xf numFmtId="0" fontId="70" fillId="0" borderId="0" xfId="5" applyFont="1" applyBorder="1" applyAlignment="1">
      <alignment horizontal="center" vertical="center"/>
    </xf>
    <xf numFmtId="0" fontId="70" fillId="0" borderId="7" xfId="5" applyFont="1" applyBorder="1" applyAlignment="1">
      <alignment horizontal="center" vertical="center"/>
    </xf>
    <xf numFmtId="0" fontId="71" fillId="0" borderId="7" xfId="5" applyFont="1" applyBorder="1" applyAlignment="1">
      <alignment horizontal="center" vertical="center"/>
    </xf>
    <xf numFmtId="4" fontId="70" fillId="0" borderId="7" xfId="5" applyNumberFormat="1" applyFont="1" applyBorder="1" applyAlignment="1">
      <alignment horizontal="center" vertical="center"/>
    </xf>
    <xf numFmtId="187" fontId="70" fillId="0" borderId="7" xfId="4" applyNumberFormat="1" applyFont="1" applyBorder="1" applyAlignment="1">
      <alignment vertical="center"/>
    </xf>
    <xf numFmtId="187" fontId="70" fillId="0" borderId="7" xfId="4" applyNumberFormat="1" applyFont="1" applyBorder="1" applyAlignment="1">
      <alignment horizontal="center" vertical="center"/>
    </xf>
    <xf numFmtId="187" fontId="70" fillId="2" borderId="7" xfId="4" applyNumberFormat="1" applyFont="1" applyFill="1" applyBorder="1" applyAlignment="1">
      <alignment horizontal="center" vertical="center"/>
    </xf>
    <xf numFmtId="0" fontId="72" fillId="0" borderId="8" xfId="4" applyNumberFormat="1" applyFont="1" applyFill="1" applyBorder="1" applyAlignment="1">
      <alignment horizontal="center" vertical="center"/>
    </xf>
    <xf numFmtId="0" fontId="71" fillId="0" borderId="8" xfId="4" applyNumberFormat="1" applyFont="1" applyFill="1" applyBorder="1" applyAlignment="1">
      <alignment horizontal="left" vertical="center"/>
    </xf>
    <xf numFmtId="4" fontId="72" fillId="0" borderId="8" xfId="5" applyNumberFormat="1" applyFont="1" applyFill="1" applyBorder="1" applyAlignment="1">
      <alignment horizontal="center" vertical="center"/>
    </xf>
    <xf numFmtId="0" fontId="72" fillId="0" borderId="8" xfId="5" applyNumberFormat="1" applyFont="1" applyFill="1" applyBorder="1" applyAlignment="1">
      <alignment horizontal="center" vertical="center"/>
    </xf>
    <xf numFmtId="0" fontId="72" fillId="0" borderId="8" xfId="4" applyNumberFormat="1" applyFont="1" applyFill="1" applyBorder="1" applyAlignment="1">
      <alignment vertical="center"/>
    </xf>
    <xf numFmtId="0" fontId="72" fillId="0" borderId="0" xfId="5" applyNumberFormat="1" applyFont="1" applyFill="1" applyBorder="1" applyAlignment="1">
      <alignment horizontal="center" vertical="center"/>
    </xf>
    <xf numFmtId="187" fontId="70" fillId="0" borderId="0" xfId="4" applyNumberFormat="1" applyFont="1" applyAlignment="1">
      <alignment horizontal="center"/>
    </xf>
    <xf numFmtId="0" fontId="70" fillId="0" borderId="8" xfId="4" applyNumberFormat="1" applyFont="1" applyFill="1" applyBorder="1" applyAlignment="1">
      <alignment horizontal="center"/>
    </xf>
    <xf numFmtId="0" fontId="70" fillId="5" borderId="8" xfId="5" applyFont="1" applyFill="1" applyBorder="1" applyAlignment="1">
      <alignment vertical="center"/>
    </xf>
    <xf numFmtId="4" fontId="70" fillId="5" borderId="12" xfId="8" applyNumberFormat="1" applyFont="1" applyFill="1" applyBorder="1" applyAlignment="1">
      <alignment horizontal="right" vertical="center"/>
    </xf>
    <xf numFmtId="3" fontId="70" fillId="0" borderId="12" xfId="6" applyNumberFormat="1" applyFont="1" applyFill="1" applyBorder="1" applyAlignment="1">
      <alignment horizontal="center" vertical="center"/>
    </xf>
    <xf numFmtId="190" fontId="70" fillId="5" borderId="12" xfId="8" applyNumberFormat="1" applyFont="1" applyFill="1" applyBorder="1" applyAlignment="1">
      <alignment horizontal="center" vertical="center"/>
    </xf>
    <xf numFmtId="43" fontId="70" fillId="5" borderId="12" xfId="8" applyFont="1" applyFill="1" applyBorder="1" applyAlignment="1">
      <alignment horizontal="center" vertical="center"/>
    </xf>
    <xf numFmtId="187" fontId="70" fillId="5" borderId="10" xfId="4" applyNumberFormat="1" applyFont="1" applyFill="1" applyBorder="1" applyAlignment="1">
      <alignment horizontal="center" vertical="center"/>
    </xf>
    <xf numFmtId="187" fontId="70" fillId="5" borderId="0" xfId="4" applyNumberFormat="1" applyFont="1" applyFill="1" applyBorder="1" applyAlignment="1">
      <alignment horizontal="center" vertical="center"/>
    </xf>
    <xf numFmtId="187" fontId="70" fillId="0" borderId="0" xfId="4" applyNumberFormat="1" applyFont="1" applyFill="1" applyAlignment="1">
      <alignment horizontal="center" vertical="center"/>
    </xf>
    <xf numFmtId="191" fontId="70" fillId="0" borderId="6" xfId="4" applyNumberFormat="1" applyFont="1" applyFill="1" applyBorder="1" applyAlignment="1">
      <alignment horizontal="center"/>
    </xf>
    <xf numFmtId="191" fontId="70" fillId="6" borderId="6" xfId="4" applyNumberFormat="1" applyFont="1" applyFill="1" applyBorder="1" applyAlignment="1">
      <alignment horizontal="center"/>
    </xf>
    <xf numFmtId="187" fontId="70" fillId="0" borderId="6" xfId="4" applyNumberFormat="1" applyFont="1" applyFill="1" applyBorder="1" applyAlignment="1">
      <alignment horizontal="center"/>
    </xf>
    <xf numFmtId="4" fontId="70" fillId="5" borderId="8" xfId="5" applyNumberFormat="1" applyFont="1" applyFill="1" applyBorder="1" applyAlignment="1">
      <alignment horizontal="right" vertical="center"/>
    </xf>
    <xf numFmtId="190" fontId="70" fillId="0" borderId="12" xfId="4" applyNumberFormat="1" applyFont="1" applyFill="1" applyBorder="1" applyAlignment="1">
      <alignment vertical="center"/>
    </xf>
    <xf numFmtId="190" fontId="70" fillId="0" borderId="12" xfId="8" applyNumberFormat="1" applyFont="1" applyBorder="1" applyAlignment="1">
      <alignment horizontal="center" vertical="center"/>
    </xf>
    <xf numFmtId="43" fontId="70" fillId="0" borderId="12" xfId="8" applyFont="1" applyBorder="1" applyAlignment="1">
      <alignment horizontal="center" vertical="center"/>
    </xf>
    <xf numFmtId="190" fontId="70" fillId="0" borderId="6" xfId="4" applyNumberFormat="1" applyFont="1" applyFill="1" applyBorder="1" applyAlignment="1">
      <alignment horizontal="center"/>
    </xf>
    <xf numFmtId="4" fontId="70" fillId="5" borderId="12" xfId="5" applyNumberFormat="1" applyFont="1" applyFill="1" applyBorder="1" applyAlignment="1">
      <alignment horizontal="right" vertical="center"/>
    </xf>
    <xf numFmtId="190" fontId="70" fillId="0" borderId="12" xfId="4" quotePrefix="1" applyNumberFormat="1" applyFont="1" applyFill="1" applyBorder="1" applyAlignment="1">
      <alignment horizontal="right" vertical="center"/>
    </xf>
    <xf numFmtId="190" fontId="70" fillId="0" borderId="0" xfId="4" applyNumberFormat="1" applyFont="1" applyFill="1" applyAlignment="1">
      <alignment horizontal="center"/>
    </xf>
    <xf numFmtId="187" fontId="70" fillId="0" borderId="0" xfId="4" applyNumberFormat="1" applyFont="1" applyFill="1" applyAlignment="1">
      <alignment horizontal="center"/>
    </xf>
    <xf numFmtId="0" fontId="70" fillId="5" borderId="14" xfId="5" applyFont="1" applyFill="1" applyBorder="1" applyAlignment="1">
      <alignment vertical="center"/>
    </xf>
    <xf numFmtId="0" fontId="70" fillId="0" borderId="12" xfId="4" applyNumberFormat="1" applyFont="1" applyFill="1" applyBorder="1" applyAlignment="1">
      <alignment horizontal="center"/>
    </xf>
    <xf numFmtId="0" fontId="70" fillId="0" borderId="12" xfId="4" applyNumberFormat="1" applyFont="1" applyFill="1" applyBorder="1" applyAlignment="1">
      <alignment horizontal="left" vertical="center"/>
    </xf>
    <xf numFmtId="4" fontId="70" fillId="0" borderId="12" xfId="5" applyNumberFormat="1" applyFont="1" applyFill="1" applyBorder="1" applyAlignment="1">
      <alignment horizontal="right" vertical="center"/>
    </xf>
    <xf numFmtId="192" fontId="70" fillId="0" borderId="12" xfId="4" quotePrefix="1" applyNumberFormat="1" applyFont="1" applyFill="1" applyBorder="1" applyAlignment="1">
      <alignment horizontal="right" vertical="center"/>
    </xf>
    <xf numFmtId="187" fontId="70" fillId="5" borderId="12" xfId="4" applyNumberFormat="1" applyFont="1" applyFill="1" applyBorder="1" applyAlignment="1">
      <alignment horizontal="center" vertical="center"/>
    </xf>
    <xf numFmtId="0" fontId="70" fillId="0" borderId="8" xfId="4" applyNumberFormat="1" applyFont="1" applyFill="1" applyBorder="1" applyAlignment="1">
      <alignment horizontal="left" vertical="center"/>
    </xf>
    <xf numFmtId="0" fontId="70" fillId="0" borderId="8" xfId="5" applyFont="1" applyFill="1" applyBorder="1" applyAlignment="1">
      <alignment vertical="center"/>
    </xf>
    <xf numFmtId="4" fontId="70" fillId="0" borderId="12" xfId="4" applyNumberFormat="1" applyFont="1" applyFill="1" applyBorder="1" applyAlignment="1">
      <alignment horizontal="center" vertical="center"/>
    </xf>
    <xf numFmtId="187" fontId="70" fillId="0" borderId="12" xfId="4" applyNumberFormat="1" applyFont="1" applyFill="1" applyBorder="1" applyAlignment="1">
      <alignment horizontal="center" vertical="center"/>
    </xf>
    <xf numFmtId="193" fontId="70" fillId="0" borderId="12" xfId="4" applyNumberFormat="1" applyFont="1" applyFill="1" applyBorder="1" applyAlignment="1">
      <alignment vertical="center"/>
    </xf>
    <xf numFmtId="187" fontId="70" fillId="0" borderId="10" xfId="4" applyNumberFormat="1" applyFont="1" applyFill="1" applyBorder="1" applyAlignment="1">
      <alignment horizontal="center" vertical="center"/>
    </xf>
    <xf numFmtId="187" fontId="70" fillId="0" borderId="0" xfId="4" applyNumberFormat="1" applyFont="1" applyFill="1" applyBorder="1" applyAlignment="1">
      <alignment horizontal="center" vertical="center"/>
    </xf>
    <xf numFmtId="187" fontId="70" fillId="0" borderId="0" xfId="4" applyNumberFormat="1" applyFont="1" applyAlignment="1">
      <alignment horizontal="center" vertical="center"/>
    </xf>
    <xf numFmtId="187" fontId="70" fillId="2" borderId="0" xfId="4" applyNumberFormat="1" applyFont="1" applyFill="1" applyAlignment="1">
      <alignment horizontal="center"/>
    </xf>
    <xf numFmtId="187" fontId="72" fillId="0" borderId="6" xfId="4" applyNumberFormat="1" applyFont="1" applyFill="1" applyBorder="1"/>
    <xf numFmtId="187" fontId="72" fillId="0" borderId="6" xfId="4" applyNumberFormat="1" applyFont="1" applyFill="1" applyBorder="1" applyAlignment="1">
      <alignment horizontal="center"/>
    </xf>
    <xf numFmtId="4" fontId="72" fillId="0" borderId="6" xfId="6" applyNumberFormat="1" applyFont="1" applyBorder="1" applyAlignment="1">
      <alignment horizontal="right" vertical="center"/>
    </xf>
    <xf numFmtId="0" fontId="72" fillId="0" borderId="6" xfId="6" applyNumberFormat="1" applyFont="1" applyBorder="1" applyAlignment="1">
      <alignment horizontal="center" vertical="center"/>
    </xf>
    <xf numFmtId="190" fontId="72" fillId="0" borderId="6" xfId="4" applyNumberFormat="1" applyFont="1" applyFill="1" applyBorder="1" applyAlignment="1">
      <alignment vertical="center"/>
    </xf>
    <xf numFmtId="190" fontId="72" fillId="0" borderId="6" xfId="4" applyNumberFormat="1" applyFont="1" applyFill="1" applyBorder="1" applyAlignment="1">
      <alignment horizontal="center" vertical="center"/>
    </xf>
    <xf numFmtId="187" fontId="72" fillId="0" borderId="6" xfId="4" applyNumberFormat="1" applyFont="1" applyFill="1" applyBorder="1" applyAlignment="1">
      <alignment horizontal="center" vertical="center"/>
    </xf>
    <xf numFmtId="187" fontId="72" fillId="0" borderId="0" xfId="4" applyNumberFormat="1" applyFont="1" applyFill="1" applyBorder="1" applyAlignment="1">
      <alignment horizontal="center" vertical="center"/>
    </xf>
    <xf numFmtId="187" fontId="70" fillId="4" borderId="0" xfId="4" applyNumberFormat="1" applyFont="1" applyFill="1" applyAlignment="1">
      <alignment horizontal="center" vertical="center"/>
    </xf>
    <xf numFmtId="187" fontId="70" fillId="4" borderId="6" xfId="4" applyNumberFormat="1" applyFont="1" applyFill="1" applyBorder="1" applyAlignment="1">
      <alignment horizontal="center" vertical="center"/>
    </xf>
    <xf numFmtId="0" fontId="70" fillId="0" borderId="7" xfId="4" applyNumberFormat="1" applyFont="1" applyFill="1" applyBorder="1" applyAlignment="1">
      <alignment horizontal="center" vertical="center"/>
    </xf>
    <xf numFmtId="49" fontId="72" fillId="0" borderId="7" xfId="6" applyNumberFormat="1" applyFont="1" applyFill="1" applyBorder="1" applyAlignment="1">
      <alignment horizontal="left" vertical="center"/>
    </xf>
    <xf numFmtId="4" fontId="72" fillId="0" borderId="7" xfId="6" applyNumberFormat="1" applyFont="1" applyFill="1" applyBorder="1" applyAlignment="1">
      <alignment horizontal="right" vertical="center"/>
    </xf>
    <xf numFmtId="3" fontId="72" fillId="0" borderId="7" xfId="6" applyNumberFormat="1" applyFont="1" applyFill="1" applyBorder="1" applyAlignment="1">
      <alignment horizontal="center" vertical="center"/>
    </xf>
    <xf numFmtId="188" fontId="72" fillId="0" borderId="7" xfId="6" applyNumberFormat="1" applyFont="1" applyFill="1" applyBorder="1" applyAlignment="1">
      <alignment vertical="center"/>
    </xf>
    <xf numFmtId="188" fontId="72" fillId="0" borderId="7" xfId="6" applyNumberFormat="1" applyFont="1" applyFill="1" applyBorder="1" applyAlignment="1">
      <alignment horizontal="right" vertical="center"/>
    </xf>
    <xf numFmtId="187" fontId="70" fillId="0" borderId="7" xfId="4" applyNumberFormat="1" applyFont="1" applyFill="1" applyBorder="1" applyAlignment="1">
      <alignment vertical="center"/>
    </xf>
    <xf numFmtId="4" fontId="72" fillId="0" borderId="0" xfId="6" applyNumberFormat="1" applyFont="1" applyFill="1" applyBorder="1" applyAlignment="1">
      <alignment horizontal="right" vertical="center"/>
    </xf>
    <xf numFmtId="187" fontId="70" fillId="0" borderId="0" xfId="4" applyNumberFormat="1" applyFont="1" applyFill="1" applyBorder="1" applyAlignment="1">
      <alignment vertical="center"/>
    </xf>
    <xf numFmtId="187" fontId="70" fillId="0" borderId="6" xfId="4" applyNumberFormat="1" applyFont="1" applyFill="1" applyBorder="1" applyAlignment="1">
      <alignment horizontal="center" vertical="center"/>
    </xf>
    <xf numFmtId="189" fontId="70" fillId="0" borderId="6" xfId="4" applyNumberFormat="1" applyFont="1" applyFill="1" applyBorder="1" applyAlignment="1">
      <alignment horizontal="center" vertical="center"/>
    </xf>
    <xf numFmtId="190" fontId="70" fillId="0" borderId="6" xfId="4" applyNumberFormat="1" applyFont="1" applyFill="1" applyBorder="1" applyAlignment="1">
      <alignment horizontal="center" vertical="center"/>
    </xf>
    <xf numFmtId="43" fontId="70" fillId="0" borderId="6" xfId="4" applyNumberFormat="1" applyFont="1" applyFill="1" applyBorder="1" applyAlignment="1">
      <alignment horizontal="center" vertical="center"/>
    </xf>
    <xf numFmtId="0" fontId="70" fillId="0" borderId="8" xfId="4" applyNumberFormat="1" applyFont="1" applyFill="1" applyBorder="1" applyAlignment="1">
      <alignment horizontal="center" vertical="center"/>
    </xf>
    <xf numFmtId="49" fontId="70" fillId="0" borderId="12" xfId="6" applyNumberFormat="1" applyFont="1" applyBorder="1" applyAlignment="1">
      <alignment horizontal="left" vertical="center"/>
    </xf>
    <xf numFmtId="4" fontId="70" fillId="0" borderId="12" xfId="6" applyNumberFormat="1" applyFont="1" applyFill="1" applyBorder="1" applyAlignment="1">
      <alignment horizontal="right" vertical="center"/>
    </xf>
    <xf numFmtId="3" fontId="70" fillId="0" borderId="12" xfId="6" applyNumberFormat="1" applyFont="1" applyBorder="1" applyAlignment="1">
      <alignment horizontal="center" vertical="center"/>
    </xf>
    <xf numFmtId="188" fontId="70" fillId="0" borderId="12" xfId="6" applyNumberFormat="1" applyFont="1" applyFill="1" applyBorder="1" applyAlignment="1">
      <alignment vertical="center"/>
    </xf>
    <xf numFmtId="188" fontId="70" fillId="0" borderId="12" xfId="6" applyNumberFormat="1" applyFont="1" applyFill="1" applyBorder="1" applyAlignment="1">
      <alignment horizontal="right" vertical="center"/>
    </xf>
    <xf numFmtId="188" fontId="70" fillId="0" borderId="8" xfId="6" applyNumberFormat="1" applyFont="1" applyFill="1" applyBorder="1" applyAlignment="1">
      <alignment vertical="center"/>
    </xf>
    <xf numFmtId="4" fontId="70" fillId="0" borderId="0" xfId="6" applyNumberFormat="1" applyFont="1" applyFill="1" applyBorder="1" applyAlignment="1">
      <alignment horizontal="right" vertical="center"/>
    </xf>
    <xf numFmtId="190" fontId="70" fillId="0" borderId="6" xfId="4" applyNumberFormat="1" applyFont="1" applyBorder="1" applyAlignment="1">
      <alignment horizontal="center"/>
    </xf>
    <xf numFmtId="187" fontId="70" fillId="0" borderId="6" xfId="4" applyNumberFormat="1" applyFont="1" applyBorder="1" applyAlignment="1">
      <alignment horizontal="center"/>
    </xf>
    <xf numFmtId="0" fontId="70" fillId="0" borderId="14" xfId="4" applyNumberFormat="1" applyFont="1" applyFill="1" applyBorder="1" applyAlignment="1">
      <alignment horizontal="center" vertical="center"/>
    </xf>
    <xf numFmtId="49" fontId="70" fillId="0" borderId="12" xfId="6" applyNumberFormat="1" applyFont="1" applyBorder="1" applyAlignment="1">
      <alignment vertical="center"/>
    </xf>
    <xf numFmtId="0" fontId="72" fillId="0" borderId="12" xfId="6" applyFont="1" applyBorder="1" applyAlignment="1">
      <alignment horizontal="center" vertical="center"/>
    </xf>
    <xf numFmtId="0" fontId="72" fillId="0" borderId="12" xfId="4" applyNumberFormat="1" applyFont="1" applyFill="1" applyBorder="1" applyAlignment="1">
      <alignment vertical="center"/>
    </xf>
    <xf numFmtId="0" fontId="72" fillId="0" borderId="0" xfId="4" applyNumberFormat="1" applyFont="1" applyFill="1" applyBorder="1" applyAlignment="1">
      <alignment vertical="center"/>
    </xf>
    <xf numFmtId="187" fontId="70" fillId="0" borderId="8" xfId="4" applyNumberFormat="1" applyFont="1" applyFill="1" applyBorder="1" applyAlignment="1">
      <alignment vertical="center"/>
    </xf>
    <xf numFmtId="0" fontId="70" fillId="0" borderId="12" xfId="5" applyFont="1" applyFill="1" applyBorder="1" applyAlignment="1" applyProtection="1">
      <alignment horizontal="center" vertical="center"/>
      <protection locked="0"/>
    </xf>
    <xf numFmtId="190" fontId="70" fillId="0" borderId="12" xfId="4" applyNumberFormat="1" applyFont="1" applyFill="1" applyBorder="1" applyAlignment="1" applyProtection="1">
      <alignment vertical="center"/>
      <protection locked="0"/>
    </xf>
    <xf numFmtId="187" fontId="70" fillId="0" borderId="12" xfId="4" applyNumberFormat="1" applyFont="1" applyFill="1" applyBorder="1" applyAlignment="1" applyProtection="1">
      <alignment vertical="center"/>
      <protection locked="0"/>
    </xf>
    <xf numFmtId="194" fontId="70" fillId="6" borderId="6" xfId="4" applyNumberFormat="1" applyFont="1" applyFill="1" applyBorder="1" applyAlignment="1">
      <alignment horizontal="center"/>
    </xf>
    <xf numFmtId="195" fontId="70" fillId="6" borderId="6" xfId="4" applyNumberFormat="1" applyFont="1" applyFill="1" applyBorder="1" applyAlignment="1">
      <alignment horizontal="center"/>
    </xf>
    <xf numFmtId="194" fontId="70" fillId="7" borderId="6" xfId="4" applyNumberFormat="1" applyFont="1" applyFill="1" applyBorder="1" applyAlignment="1">
      <alignment horizontal="center"/>
    </xf>
    <xf numFmtId="195" fontId="70" fillId="7" borderId="6" xfId="4" applyNumberFormat="1" applyFont="1" applyFill="1" applyBorder="1" applyAlignment="1">
      <alignment horizontal="center"/>
    </xf>
    <xf numFmtId="194" fontId="70" fillId="8" borderId="6" xfId="4" applyNumberFormat="1" applyFont="1" applyFill="1" applyBorder="1" applyAlignment="1">
      <alignment horizontal="center"/>
    </xf>
    <xf numFmtId="4" fontId="70" fillId="0" borderId="12" xfId="4" applyNumberFormat="1" applyFont="1" applyFill="1" applyBorder="1" applyAlignment="1">
      <alignment horizontal="right" vertical="center"/>
    </xf>
    <xf numFmtId="187" fontId="70" fillId="6" borderId="6" xfId="4" applyNumberFormat="1" applyFont="1" applyFill="1" applyBorder="1" applyAlignment="1">
      <alignment horizontal="center"/>
    </xf>
    <xf numFmtId="190" fontId="70" fillId="6" borderId="6" xfId="4" applyNumberFormat="1" applyFont="1" applyFill="1" applyBorder="1" applyAlignment="1">
      <alignment horizontal="center"/>
    </xf>
    <xf numFmtId="187" fontId="70" fillId="7" borderId="6" xfId="4" applyNumberFormat="1" applyFont="1" applyFill="1" applyBorder="1" applyAlignment="1">
      <alignment horizontal="center"/>
    </xf>
    <xf numFmtId="190" fontId="70" fillId="7" borderId="6" xfId="4" applyNumberFormat="1" applyFont="1" applyFill="1" applyBorder="1" applyAlignment="1">
      <alignment horizontal="center"/>
    </xf>
    <xf numFmtId="187" fontId="70" fillId="8" borderId="6" xfId="4" applyNumberFormat="1" applyFont="1" applyFill="1" applyBorder="1" applyAlignment="1">
      <alignment horizontal="center"/>
    </xf>
    <xf numFmtId="187" fontId="70" fillId="0" borderId="10" xfId="4" applyNumberFormat="1" applyFont="1" applyFill="1" applyBorder="1" applyAlignment="1">
      <alignment vertical="center"/>
    </xf>
    <xf numFmtId="187" fontId="70" fillId="9" borderId="6" xfId="4" applyNumberFormat="1" applyFont="1" applyFill="1" applyBorder="1" applyAlignment="1">
      <alignment horizontal="center"/>
    </xf>
    <xf numFmtId="187" fontId="72" fillId="9" borderId="6" xfId="4" applyNumberFormat="1" applyFont="1" applyFill="1" applyBorder="1" applyAlignment="1">
      <alignment horizontal="center"/>
    </xf>
    <xf numFmtId="190" fontId="70" fillId="9" borderId="6" xfId="4" applyNumberFormat="1" applyFont="1" applyFill="1" applyBorder="1" applyAlignment="1">
      <alignment horizontal="center"/>
    </xf>
    <xf numFmtId="192" fontId="72" fillId="9" borderId="6" xfId="4" applyNumberFormat="1" applyFont="1" applyFill="1" applyBorder="1" applyAlignment="1">
      <alignment horizontal="center"/>
    </xf>
    <xf numFmtId="187" fontId="72" fillId="8" borderId="6" xfId="4" applyNumberFormat="1" applyFont="1" applyFill="1" applyBorder="1" applyAlignment="1">
      <alignment horizontal="center"/>
    </xf>
    <xf numFmtId="188" fontId="70" fillId="0" borderId="12" xfId="4" applyNumberFormat="1" applyFont="1" applyFill="1" applyBorder="1" applyAlignment="1">
      <alignment vertical="center"/>
    </xf>
    <xf numFmtId="49" fontId="70" fillId="0" borderId="12" xfId="6" quotePrefix="1" applyNumberFormat="1" applyFont="1" applyBorder="1" applyAlignment="1">
      <alignment horizontal="left" vertical="center"/>
    </xf>
    <xf numFmtId="192" fontId="70" fillId="8" borderId="6" xfId="4" applyNumberFormat="1" applyFont="1" applyFill="1" applyBorder="1" applyAlignment="1">
      <alignment horizontal="center"/>
    </xf>
    <xf numFmtId="190" fontId="70" fillId="8" borderId="6" xfId="4" applyNumberFormat="1" applyFont="1" applyFill="1" applyBorder="1" applyAlignment="1">
      <alignment horizontal="center"/>
    </xf>
    <xf numFmtId="192" fontId="72" fillId="8" borderId="6" xfId="4" applyNumberFormat="1" applyFont="1" applyFill="1" applyBorder="1" applyAlignment="1">
      <alignment horizontal="center"/>
    </xf>
    <xf numFmtId="0" fontId="70" fillId="0" borderId="8" xfId="6" applyFont="1" applyBorder="1" applyAlignment="1">
      <alignment horizontal="left" vertical="center"/>
    </xf>
    <xf numFmtId="196" fontId="70" fillId="0" borderId="12" xfId="6" applyNumberFormat="1" applyFont="1" applyFill="1" applyBorder="1" applyAlignment="1">
      <alignment vertical="center"/>
    </xf>
    <xf numFmtId="190" fontId="70" fillId="0" borderId="0" xfId="4" applyNumberFormat="1" applyFont="1" applyAlignment="1">
      <alignment horizontal="center"/>
    </xf>
    <xf numFmtId="0" fontId="70" fillId="0" borderId="12" xfId="4" applyNumberFormat="1" applyFont="1" applyFill="1" applyBorder="1" applyAlignment="1">
      <alignment horizontal="center" vertical="center"/>
    </xf>
    <xf numFmtId="189" fontId="70" fillId="0" borderId="0" xfId="4" applyNumberFormat="1" applyFont="1" applyFill="1" applyAlignment="1">
      <alignment horizontal="center"/>
    </xf>
    <xf numFmtId="192" fontId="70" fillId="4" borderId="6" xfId="4" applyNumberFormat="1" applyFont="1" applyFill="1" applyBorder="1" applyAlignment="1">
      <alignment horizontal="center"/>
    </xf>
    <xf numFmtId="187" fontId="70" fillId="6" borderId="6" xfId="4" applyNumberFormat="1" applyFont="1" applyFill="1" applyBorder="1" applyAlignment="1">
      <alignment horizontal="left"/>
    </xf>
    <xf numFmtId="190" fontId="70" fillId="0" borderId="8" xfId="4" applyNumberFormat="1" applyFont="1" applyFill="1" applyBorder="1" applyAlignment="1">
      <alignment vertical="center"/>
    </xf>
    <xf numFmtId="190" fontId="70" fillId="0" borderId="8" xfId="4" applyNumberFormat="1" applyFont="1" applyFill="1" applyBorder="1" applyAlignment="1">
      <alignment horizontal="right" vertical="center"/>
    </xf>
    <xf numFmtId="187" fontId="70" fillId="0" borderId="12" xfId="4" applyNumberFormat="1" applyFont="1" applyFill="1" applyBorder="1" applyAlignment="1">
      <alignment vertical="center"/>
    </xf>
    <xf numFmtId="192" fontId="70" fillId="6" borderId="6" xfId="4" applyNumberFormat="1" applyFont="1" applyFill="1" applyBorder="1" applyAlignment="1">
      <alignment horizontal="center"/>
    </xf>
    <xf numFmtId="0" fontId="70" fillId="0" borderId="12" xfId="5" applyFont="1" applyFill="1" applyBorder="1" applyAlignment="1">
      <alignment vertical="center"/>
    </xf>
    <xf numFmtId="0" fontId="72" fillId="0" borderId="6" xfId="6" applyFont="1" applyBorder="1" applyAlignment="1">
      <alignment horizontal="center" vertical="center"/>
    </xf>
    <xf numFmtId="49" fontId="72" fillId="0" borderId="6" xfId="6" applyNumberFormat="1" applyFont="1" applyBorder="1" applyAlignment="1">
      <alignment horizontal="center" vertical="center"/>
    </xf>
    <xf numFmtId="188" fontId="72" fillId="0" borderId="6" xfId="6" applyNumberFormat="1" applyFont="1" applyBorder="1" applyAlignment="1">
      <alignment vertical="center"/>
    </xf>
    <xf numFmtId="0" fontId="72" fillId="0" borderId="6" xfId="4" applyNumberFormat="1" applyFont="1" applyFill="1" applyBorder="1" applyAlignment="1">
      <alignment vertical="center"/>
    </xf>
    <xf numFmtId="1" fontId="72" fillId="0" borderId="17" xfId="6" applyNumberFormat="1" applyFont="1" applyFill="1" applyBorder="1" applyAlignment="1">
      <alignment horizontal="center" vertical="center"/>
    </xf>
    <xf numFmtId="187" fontId="72" fillId="0" borderId="7" xfId="4" applyNumberFormat="1" applyFont="1" applyFill="1" applyBorder="1" applyAlignment="1">
      <alignment horizontal="center" vertical="center"/>
    </xf>
    <xf numFmtId="187" fontId="73" fillId="4" borderId="6" xfId="4" applyNumberFormat="1" applyFont="1" applyFill="1" applyBorder="1" applyAlignment="1">
      <alignment vertical="center"/>
    </xf>
    <xf numFmtId="0" fontId="72" fillId="0" borderId="15" xfId="6" applyNumberFormat="1" applyFont="1" applyBorder="1" applyAlignment="1">
      <alignment horizontal="center" vertical="center"/>
    </xf>
    <xf numFmtId="0" fontId="70" fillId="0" borderId="12" xfId="6" applyNumberFormat="1" applyFont="1" applyBorder="1" applyAlignment="1">
      <alignment horizontal="center" vertical="center"/>
    </xf>
    <xf numFmtId="196" fontId="70" fillId="0" borderId="12" xfId="6" applyNumberFormat="1" applyFont="1" applyBorder="1" applyAlignment="1">
      <alignment vertical="center"/>
    </xf>
    <xf numFmtId="188" fontId="70" fillId="0" borderId="12" xfId="6" applyNumberFormat="1" applyFont="1" applyBorder="1" applyAlignment="1">
      <alignment vertical="center"/>
    </xf>
    <xf numFmtId="188" fontId="70" fillId="0" borderId="8" xfId="6" applyNumberFormat="1" applyFont="1" applyBorder="1" applyAlignment="1">
      <alignment vertical="center"/>
    </xf>
    <xf numFmtId="187" fontId="72" fillId="0" borderId="10" xfId="4" applyNumberFormat="1" applyFont="1" applyFill="1" applyBorder="1" applyAlignment="1">
      <alignment vertical="center"/>
    </xf>
    <xf numFmtId="187" fontId="72" fillId="0" borderId="0" xfId="4" applyNumberFormat="1" applyFont="1" applyFill="1" applyBorder="1" applyAlignment="1">
      <alignment vertical="center"/>
    </xf>
    <xf numFmtId="1" fontId="72" fillId="0" borderId="15" xfId="6" applyNumberFormat="1" applyFont="1" applyBorder="1" applyAlignment="1">
      <alignment horizontal="center" vertical="center"/>
    </xf>
    <xf numFmtId="0" fontId="70" fillId="0" borderId="12" xfId="6" applyFont="1" applyBorder="1" applyAlignment="1">
      <alignment horizontal="left" vertical="center"/>
    </xf>
    <xf numFmtId="188" fontId="70" fillId="0" borderId="12" xfId="6" applyNumberFormat="1" applyFont="1" applyBorder="1" applyAlignment="1">
      <alignment horizontal="right" vertical="center"/>
    </xf>
    <xf numFmtId="0" fontId="70" fillId="0" borderId="12" xfId="6" applyFont="1" applyBorder="1" applyAlignment="1">
      <alignment vertical="center"/>
    </xf>
    <xf numFmtId="0" fontId="70" fillId="0" borderId="8" xfId="6" applyFont="1" applyBorder="1" applyAlignment="1">
      <alignment vertical="center"/>
    </xf>
    <xf numFmtId="0" fontId="72" fillId="0" borderId="6" xfId="6" applyFont="1" applyBorder="1" applyAlignment="1">
      <alignment horizontal="center"/>
    </xf>
    <xf numFmtId="49" fontId="72" fillId="0" borderId="6" xfId="6" applyNumberFormat="1" applyFont="1" applyBorder="1" applyAlignment="1">
      <alignment horizontal="center"/>
    </xf>
    <xf numFmtId="188" fontId="72" fillId="0" borderId="6" xfId="6" applyNumberFormat="1" applyFont="1" applyBorder="1" applyAlignment="1">
      <alignment horizontal="right" vertical="center"/>
    </xf>
    <xf numFmtId="187" fontId="70" fillId="0" borderId="6" xfId="4" applyNumberFormat="1" applyFont="1" applyFill="1" applyBorder="1" applyAlignment="1">
      <alignment vertical="top"/>
    </xf>
    <xf numFmtId="187" fontId="70" fillId="0" borderId="0" xfId="4" applyNumberFormat="1" applyFont="1" applyFill="1" applyBorder="1" applyAlignment="1">
      <alignment vertical="top"/>
    </xf>
    <xf numFmtId="0" fontId="72" fillId="0" borderId="7" xfId="6" applyFont="1" applyBorder="1" applyAlignment="1">
      <alignment horizontal="center"/>
    </xf>
    <xf numFmtId="49" fontId="72" fillId="0" borderId="7" xfId="6" applyNumberFormat="1" applyFont="1" applyFill="1" applyBorder="1" applyAlignment="1">
      <alignment horizontal="left"/>
    </xf>
    <xf numFmtId="4" fontId="70" fillId="0" borderId="7" xfId="6" applyNumberFormat="1" applyFont="1" applyFill="1" applyBorder="1" applyAlignment="1">
      <alignment horizontal="right" vertical="center"/>
    </xf>
    <xf numFmtId="3" fontId="70" fillId="0" borderId="7" xfId="6" applyNumberFormat="1" applyFont="1" applyFill="1" applyBorder="1" applyAlignment="1">
      <alignment horizontal="center" vertical="center"/>
    </xf>
    <xf numFmtId="188" fontId="70" fillId="0" borderId="7" xfId="6" applyNumberFormat="1" applyFont="1" applyFill="1" applyBorder="1" applyAlignment="1">
      <alignment vertical="center"/>
    </xf>
    <xf numFmtId="188" fontId="70" fillId="0" borderId="7" xfId="6" applyNumberFormat="1" applyFont="1" applyFill="1" applyBorder="1" applyAlignment="1">
      <alignment horizontal="right" vertical="center"/>
    </xf>
    <xf numFmtId="3" fontId="70" fillId="0" borderId="18" xfId="6" applyNumberFormat="1" applyFont="1" applyFill="1" applyBorder="1"/>
    <xf numFmtId="3" fontId="70" fillId="0" borderId="0" xfId="6" applyNumberFormat="1" applyFont="1" applyFill="1" applyBorder="1"/>
    <xf numFmtId="1" fontId="72" fillId="0" borderId="19" xfId="6" applyNumberFormat="1" applyFont="1" applyBorder="1" applyAlignment="1">
      <alignment horizontal="center" vertical="center"/>
    </xf>
    <xf numFmtId="0" fontId="70" fillId="0" borderId="12" xfId="6" applyFont="1" applyBorder="1" applyAlignment="1">
      <alignment horizontal="left"/>
    </xf>
    <xf numFmtId="3" fontId="70" fillId="0" borderId="20" xfId="6" applyNumberFormat="1" applyFont="1" applyBorder="1"/>
    <xf numFmtId="3" fontId="70" fillId="0" borderId="0" xfId="6" applyNumberFormat="1" applyFont="1" applyBorder="1"/>
    <xf numFmtId="49" fontId="70" fillId="0" borderId="12" xfId="6" applyNumberFormat="1" applyFont="1" applyBorder="1" applyAlignment="1">
      <alignment horizontal="left"/>
    </xf>
    <xf numFmtId="3" fontId="70" fillId="0" borderId="20" xfId="6" applyNumberFormat="1" applyFont="1" applyFill="1" applyBorder="1"/>
    <xf numFmtId="4" fontId="70" fillId="0" borderId="12" xfId="5" applyNumberFormat="1" applyFont="1" applyFill="1" applyBorder="1" applyAlignment="1">
      <alignment vertical="center"/>
    </xf>
    <xf numFmtId="197" fontId="70" fillId="0" borderId="12" xfId="5" applyNumberFormat="1" applyFont="1" applyFill="1" applyBorder="1" applyAlignment="1">
      <alignment horizontal="center" vertical="center"/>
    </xf>
    <xf numFmtId="190" fontId="70" fillId="0" borderId="12" xfId="5" applyNumberFormat="1" applyFont="1" applyFill="1" applyBorder="1" applyAlignment="1">
      <alignment vertical="center"/>
    </xf>
    <xf numFmtId="190" fontId="70" fillId="0" borderId="15" xfId="5" applyNumberFormat="1" applyFont="1" applyFill="1" applyBorder="1" applyAlignment="1">
      <alignment vertical="center"/>
    </xf>
    <xf numFmtId="187" fontId="70" fillId="0" borderId="12" xfId="5" applyNumberFormat="1" applyFont="1" applyFill="1" applyBorder="1" applyAlignment="1">
      <alignment vertical="center"/>
    </xf>
    <xf numFmtId="190" fontId="70" fillId="0" borderId="9" xfId="5" applyNumberFormat="1" applyFont="1" applyFill="1" applyBorder="1" applyAlignment="1">
      <alignment vertical="center"/>
    </xf>
    <xf numFmtId="0" fontId="70" fillId="0" borderId="12" xfId="4" applyNumberFormat="1" applyFont="1" applyFill="1" applyBorder="1"/>
    <xf numFmtId="0" fontId="70" fillId="0" borderId="0" xfId="4" applyNumberFormat="1" applyFont="1" applyFill="1" applyBorder="1"/>
    <xf numFmtId="0" fontId="70" fillId="0" borderId="12" xfId="7" applyNumberFormat="1" applyFont="1" applyFill="1" applyBorder="1"/>
    <xf numFmtId="0" fontId="70" fillId="0" borderId="0" xfId="7" applyNumberFormat="1" applyFont="1" applyFill="1" applyBorder="1"/>
    <xf numFmtId="0" fontId="72" fillId="0" borderId="7" xfId="4" applyNumberFormat="1" applyFont="1" applyFill="1" applyBorder="1" applyAlignment="1">
      <alignment horizontal="center" vertical="center"/>
    </xf>
    <xf numFmtId="0" fontId="72" fillId="0" borderId="7" xfId="4" applyNumberFormat="1" applyFont="1" applyFill="1" applyBorder="1" applyAlignment="1">
      <alignment horizontal="left" vertical="center"/>
    </xf>
    <xf numFmtId="4" fontId="72" fillId="0" borderId="7" xfId="5" applyNumberFormat="1" applyFont="1" applyFill="1" applyBorder="1" applyAlignment="1">
      <alignment horizontal="center" vertical="center"/>
    </xf>
    <xf numFmtId="0" fontId="72" fillId="0" borderId="7" xfId="5" applyNumberFormat="1" applyFont="1" applyFill="1" applyBorder="1" applyAlignment="1">
      <alignment horizontal="center" vertical="center"/>
    </xf>
    <xf numFmtId="0" fontId="72" fillId="0" borderId="7" xfId="4" applyNumberFormat="1" applyFont="1" applyFill="1" applyBorder="1" applyAlignment="1">
      <alignment vertical="center"/>
    </xf>
    <xf numFmtId="0" fontId="70" fillId="5" borderId="12" xfId="5" applyFont="1" applyFill="1" applyBorder="1" applyAlignment="1">
      <alignment vertical="center"/>
    </xf>
    <xf numFmtId="4" fontId="70" fillId="0" borderId="12" xfId="10" applyNumberFormat="1" applyFont="1" applyBorder="1"/>
    <xf numFmtId="187" fontId="70" fillId="0" borderId="12" xfId="10" applyNumberFormat="1" applyFont="1" applyBorder="1" applyAlignment="1">
      <alignment horizontal="center"/>
    </xf>
    <xf numFmtId="190" fontId="70" fillId="0" borderId="12" xfId="4" applyNumberFormat="1" applyFont="1" applyBorder="1"/>
    <xf numFmtId="49" fontId="70" fillId="0" borderId="12" xfId="5" applyNumberFormat="1" applyFont="1" applyFill="1" applyBorder="1" applyAlignment="1">
      <alignment vertical="center"/>
    </xf>
    <xf numFmtId="0" fontId="70" fillId="0" borderId="12" xfId="4" applyNumberFormat="1" applyFont="1" applyBorder="1" applyAlignment="1">
      <alignment horizontal="center"/>
    </xf>
    <xf numFmtId="0" fontId="70" fillId="0" borderId="12" xfId="5" applyFont="1" applyBorder="1" applyAlignment="1">
      <alignment vertical="center"/>
    </xf>
    <xf numFmtId="4" fontId="70" fillId="0" borderId="12" xfId="4" applyNumberFormat="1" applyFont="1" applyBorder="1" applyAlignment="1">
      <alignment horizontal="right" vertical="center"/>
    </xf>
    <xf numFmtId="43" fontId="68" fillId="0" borderId="12" xfId="1" applyFont="1" applyBorder="1" applyAlignment="1">
      <alignment horizontal="center" vertical="center"/>
    </xf>
    <xf numFmtId="43" fontId="68" fillId="0" borderId="12" xfId="1" applyFont="1" applyBorder="1" applyAlignment="1">
      <alignment horizontal="right" vertical="center"/>
    </xf>
    <xf numFmtId="43" fontId="68" fillId="0" borderId="12" xfId="1" applyFont="1" applyBorder="1" applyAlignment="1">
      <alignment horizontal="right"/>
    </xf>
    <xf numFmtId="43" fontId="68" fillId="0" borderId="12" xfId="1" applyFont="1" applyBorder="1" applyAlignment="1">
      <alignment vertical="center"/>
    </xf>
    <xf numFmtId="4" fontId="70" fillId="0" borderId="0" xfId="4" applyNumberFormat="1" applyFont="1" applyFill="1" applyBorder="1" applyAlignment="1">
      <alignment horizontal="right" vertical="center"/>
    </xf>
    <xf numFmtId="0" fontId="70" fillId="0" borderId="13" xfId="4" applyNumberFormat="1" applyFont="1" applyFill="1" applyBorder="1" applyAlignment="1">
      <alignment horizontal="center"/>
    </xf>
    <xf numFmtId="0" fontId="70" fillId="0" borderId="13" xfId="5" applyFont="1" applyFill="1" applyBorder="1" applyAlignment="1">
      <alignment vertical="center"/>
    </xf>
    <xf numFmtId="4" fontId="70" fillId="0" borderId="13" xfId="4" applyNumberFormat="1" applyFont="1" applyFill="1" applyBorder="1" applyAlignment="1">
      <alignment horizontal="center" vertical="center"/>
    </xf>
    <xf numFmtId="187" fontId="70" fillId="0" borderId="13" xfId="4" applyNumberFormat="1" applyFont="1" applyFill="1" applyBorder="1" applyAlignment="1">
      <alignment horizontal="center" vertical="center"/>
    </xf>
    <xf numFmtId="190" fontId="70" fillId="0" borderId="13" xfId="4" applyNumberFormat="1" applyFont="1" applyFill="1" applyBorder="1" applyAlignment="1">
      <alignment vertical="center"/>
    </xf>
    <xf numFmtId="193" fontId="70" fillId="0" borderId="13" xfId="4" applyNumberFormat="1" applyFont="1" applyFill="1" applyBorder="1" applyAlignment="1">
      <alignment vertical="center"/>
    </xf>
    <xf numFmtId="0" fontId="72" fillId="0" borderId="7" xfId="4" applyNumberFormat="1" applyFont="1" applyBorder="1" applyAlignment="1">
      <alignment horizontal="center" vertical="center"/>
    </xf>
    <xf numFmtId="0" fontId="72" fillId="0" borderId="7" xfId="4" applyNumberFormat="1" applyFont="1" applyBorder="1" applyAlignment="1">
      <alignment horizontal="left" vertical="center"/>
    </xf>
    <xf numFmtId="4" fontId="72" fillId="0" borderId="7" xfId="5" applyNumberFormat="1" applyFont="1" applyBorder="1" applyAlignment="1">
      <alignment horizontal="center" vertical="center"/>
    </xf>
    <xf numFmtId="0" fontId="72" fillId="0" borderId="7" xfId="5" applyFont="1" applyBorder="1" applyAlignment="1">
      <alignment horizontal="center" vertical="center"/>
    </xf>
    <xf numFmtId="0" fontId="72" fillId="0" borderId="7" xfId="4" applyNumberFormat="1" applyFont="1" applyBorder="1" applyAlignment="1">
      <alignment vertical="center"/>
    </xf>
    <xf numFmtId="4" fontId="72" fillId="0" borderId="2" xfId="6" applyNumberFormat="1" applyFont="1" applyBorder="1" applyAlignment="1">
      <alignment horizontal="right" vertical="center"/>
    </xf>
    <xf numFmtId="4" fontId="70" fillId="0" borderId="0" xfId="6" applyNumberFormat="1" applyFont="1" applyBorder="1" applyAlignment="1">
      <alignment horizontal="right" vertical="center"/>
    </xf>
    <xf numFmtId="187" fontId="70" fillId="0" borderId="0" xfId="4" applyNumberFormat="1" applyFont="1" applyAlignment="1">
      <alignment vertical="top"/>
    </xf>
    <xf numFmtId="0" fontId="70" fillId="0" borderId="8" xfId="4" applyNumberFormat="1" applyFont="1" applyBorder="1" applyAlignment="1">
      <alignment horizontal="center"/>
    </xf>
    <xf numFmtId="0" fontId="70" fillId="0" borderId="8" xfId="4" applyNumberFormat="1" applyFont="1" applyBorder="1" applyAlignment="1">
      <alignment horizontal="center" vertical="center"/>
    </xf>
    <xf numFmtId="190" fontId="70" fillId="0" borderId="12" xfId="4" quotePrefix="1" applyNumberFormat="1" applyFont="1" applyBorder="1" applyAlignment="1">
      <alignment horizontal="right" vertical="center"/>
    </xf>
    <xf numFmtId="0" fontId="70" fillId="0" borderId="12" xfId="5" applyFont="1" applyBorder="1" applyAlignment="1" applyProtection="1">
      <alignment horizontal="center" vertical="center"/>
      <protection locked="0"/>
    </xf>
    <xf numFmtId="190" fontId="70" fillId="0" borderId="12" xfId="4" applyNumberFormat="1" applyFont="1" applyBorder="1" applyAlignment="1" applyProtection="1">
      <alignment vertical="center"/>
      <protection locked="0"/>
    </xf>
    <xf numFmtId="187" fontId="70" fillId="0" borderId="12" xfId="4" applyNumberFormat="1" applyFont="1" applyBorder="1" applyAlignment="1" applyProtection="1">
      <alignment vertical="center"/>
      <protection locked="0"/>
    </xf>
    <xf numFmtId="43" fontId="70" fillId="0" borderId="12" xfId="1" applyFont="1" applyBorder="1" applyAlignment="1">
      <alignment horizontal="center" vertical="center"/>
    </xf>
    <xf numFmtId="43" fontId="70" fillId="0" borderId="12" xfId="1" applyFont="1" applyBorder="1" applyAlignment="1">
      <alignment horizontal="right" vertical="center"/>
    </xf>
    <xf numFmtId="43" fontId="70" fillId="0" borderId="12" xfId="1" applyFont="1" applyBorder="1" applyAlignment="1">
      <alignment horizontal="right"/>
    </xf>
    <xf numFmtId="43" fontId="70" fillId="0" borderId="12" xfId="1" applyFont="1" applyBorder="1" applyAlignment="1">
      <alignment vertical="center"/>
    </xf>
    <xf numFmtId="187" fontId="70" fillId="0" borderId="12" xfId="4" applyNumberFormat="1" applyFont="1" applyBorder="1" applyAlignment="1">
      <alignment horizontal="center" vertical="center"/>
    </xf>
    <xf numFmtId="190" fontId="70" fillId="0" borderId="12" xfId="4" applyNumberFormat="1" applyFont="1" applyBorder="1" applyAlignment="1">
      <alignment vertical="center"/>
    </xf>
    <xf numFmtId="49" fontId="70" fillId="0" borderId="12" xfId="5" applyNumberFormat="1" applyFont="1" applyBorder="1" applyAlignment="1">
      <alignment vertical="center"/>
    </xf>
    <xf numFmtId="0" fontId="72" fillId="0" borderId="2" xfId="6" applyFont="1" applyBorder="1" applyAlignment="1">
      <alignment horizontal="center"/>
    </xf>
    <xf numFmtId="49" fontId="72" fillId="0" borderId="2" xfId="6" applyNumberFormat="1" applyFont="1" applyBorder="1" applyAlignment="1">
      <alignment horizontal="center"/>
    </xf>
    <xf numFmtId="190" fontId="72" fillId="0" borderId="6" xfId="4" applyNumberFormat="1" applyFont="1" applyBorder="1" applyAlignment="1">
      <alignment vertical="center"/>
    </xf>
    <xf numFmtId="190" fontId="72" fillId="0" borderId="6" xfId="4" applyNumberFormat="1" applyFont="1" applyBorder="1" applyAlignment="1">
      <alignment horizontal="center" vertical="center"/>
    </xf>
    <xf numFmtId="187" fontId="72" fillId="0" borderId="6" xfId="4" applyNumberFormat="1" applyFont="1" applyBorder="1" applyAlignment="1">
      <alignment horizontal="center" vertical="center"/>
    </xf>
    <xf numFmtId="0" fontId="72" fillId="0" borderId="0" xfId="5" applyFont="1" applyAlignment="1">
      <alignment horizontal="center" vertical="center"/>
    </xf>
    <xf numFmtId="187" fontId="70" fillId="5" borderId="0" xfId="4" applyNumberFormat="1" applyFont="1" applyFill="1" applyAlignment="1">
      <alignment horizontal="center" vertical="center"/>
    </xf>
    <xf numFmtId="4" fontId="70" fillId="0" borderId="12" xfId="6" applyNumberFormat="1" applyFont="1" applyBorder="1" applyAlignment="1">
      <alignment horizontal="right" vertical="center"/>
    </xf>
    <xf numFmtId="0" fontId="70" fillId="0" borderId="8" xfId="5" applyFont="1" applyBorder="1" applyAlignment="1">
      <alignment vertical="center"/>
    </xf>
    <xf numFmtId="196" fontId="70" fillId="0" borderId="12" xfId="4" applyNumberFormat="1" applyFont="1" applyBorder="1" applyAlignment="1">
      <alignment vertical="center"/>
    </xf>
    <xf numFmtId="4" fontId="70" fillId="0" borderId="12" xfId="4" applyNumberFormat="1" applyFont="1" applyBorder="1" applyAlignment="1">
      <alignment horizontal="center" vertical="center"/>
    </xf>
    <xf numFmtId="193" fontId="70" fillId="0" borderId="12" xfId="4" applyNumberFormat="1" applyFont="1" applyBorder="1" applyAlignment="1">
      <alignment vertical="center"/>
    </xf>
    <xf numFmtId="187" fontId="70" fillId="0" borderId="10" xfId="4" applyNumberFormat="1" applyFont="1" applyBorder="1" applyAlignment="1">
      <alignment horizontal="center" vertical="center"/>
    </xf>
    <xf numFmtId="187" fontId="72" fillId="0" borderId="6" xfId="4" applyNumberFormat="1" applyFont="1" applyBorder="1"/>
    <xf numFmtId="187" fontId="72" fillId="0" borderId="6" xfId="4" applyNumberFormat="1" applyFont="1" applyBorder="1" applyAlignment="1">
      <alignment horizontal="center"/>
    </xf>
    <xf numFmtId="187" fontId="72" fillId="0" borderId="0" xfId="4" applyNumberFormat="1" applyFont="1" applyAlignment="1">
      <alignment horizontal="center" vertical="center"/>
    </xf>
    <xf numFmtId="0" fontId="74" fillId="10" borderId="21" xfId="0" applyFont="1" applyFill="1" applyBorder="1" applyAlignment="1">
      <alignment horizontal="left" vertical="center" wrapText="1" readingOrder="1"/>
    </xf>
    <xf numFmtId="0" fontId="75" fillId="10" borderId="22" xfId="0" applyFont="1" applyFill="1" applyBorder="1" applyAlignment="1">
      <alignment horizontal="left" vertical="center" wrapText="1" readingOrder="1"/>
    </xf>
    <xf numFmtId="0" fontId="76" fillId="0" borderId="22" xfId="0" applyFont="1" applyFill="1" applyBorder="1" applyAlignment="1">
      <alignment horizontal="left" vertical="center" wrapText="1" readingOrder="1"/>
    </xf>
    <xf numFmtId="0" fontId="77" fillId="11" borderId="6" xfId="0" applyFont="1" applyFill="1" applyBorder="1" applyAlignment="1">
      <alignment horizontal="left" vertical="center" wrapText="1" readingOrder="1"/>
    </xf>
    <xf numFmtId="0" fontId="74" fillId="0" borderId="0" xfId="0" applyFont="1" applyFill="1" applyBorder="1" applyAlignment="1">
      <alignment horizontal="left" vertical="center" wrapText="1" readingOrder="1"/>
    </xf>
    <xf numFmtId="2" fontId="77" fillId="11" borderId="6" xfId="0" applyNumberFormat="1" applyFont="1" applyFill="1" applyBorder="1" applyAlignment="1">
      <alignment horizontal="left" vertical="center" wrapText="1" readingOrder="1"/>
    </xf>
    <xf numFmtId="0" fontId="78" fillId="0" borderId="0" xfId="0" applyFont="1" applyFill="1" applyBorder="1" applyAlignment="1">
      <alignment horizontal="left" vertical="center" wrapText="1" readingOrder="1"/>
    </xf>
    <xf numFmtId="0" fontId="77" fillId="0" borderId="25" xfId="0" applyFont="1" applyFill="1" applyBorder="1" applyAlignment="1">
      <alignment horizontal="left" vertical="center" wrapText="1" readingOrder="1"/>
    </xf>
    <xf numFmtId="4" fontId="77" fillId="11" borderId="6" xfId="0" applyNumberFormat="1" applyFont="1" applyFill="1" applyBorder="1" applyAlignment="1">
      <alignment horizontal="left" vertical="center" wrapText="1" readingOrder="1"/>
    </xf>
    <xf numFmtId="0" fontId="79" fillId="0" borderId="11" xfId="0" applyFont="1"/>
    <xf numFmtId="187" fontId="9" fillId="0" borderId="3" xfId="4" applyNumberFormat="1" applyFont="1" applyBorder="1" applyAlignment="1">
      <alignment horizontal="center"/>
    </xf>
    <xf numFmtId="187" fontId="9" fillId="0" borderId="16" xfId="4" applyNumberFormat="1" applyFont="1" applyBorder="1" applyAlignment="1">
      <alignment horizontal="center"/>
    </xf>
    <xf numFmtId="187" fontId="9" fillId="0" borderId="4" xfId="4" applyNumberFormat="1" applyFont="1" applyBorder="1" applyAlignment="1">
      <alignment horizontal="center"/>
    </xf>
    <xf numFmtId="187" fontId="9" fillId="2" borderId="2" xfId="4" applyNumberFormat="1" applyFont="1" applyFill="1" applyBorder="1" applyAlignment="1">
      <alignment horizontal="center" vertical="center"/>
    </xf>
    <xf numFmtId="0" fontId="9" fillId="0" borderId="5" xfId="5" applyFont="1" applyBorder="1" applyAlignment="1">
      <alignment horizontal="center" vertical="center"/>
    </xf>
    <xf numFmtId="4" fontId="9" fillId="2" borderId="2" xfId="4" applyNumberFormat="1" applyFont="1" applyFill="1" applyBorder="1" applyAlignment="1">
      <alignment horizontal="center" vertical="center"/>
    </xf>
    <xf numFmtId="4" fontId="9" fillId="0" borderId="5" xfId="5" applyNumberFormat="1" applyFont="1" applyBorder="1" applyAlignment="1">
      <alignment horizontal="center" vertical="center"/>
    </xf>
    <xf numFmtId="187" fontId="9" fillId="2" borderId="3" xfId="4" applyNumberFormat="1" applyFont="1" applyFill="1" applyBorder="1" applyAlignment="1">
      <alignment horizontal="center" vertical="center"/>
    </xf>
    <xf numFmtId="0" fontId="9" fillId="0" borderId="4" xfId="5" applyFont="1" applyBorder="1" applyAlignment="1">
      <alignment horizontal="center" vertical="center"/>
    </xf>
    <xf numFmtId="0" fontId="69" fillId="0" borderId="0" xfId="0" applyFont="1" applyBorder="1" applyAlignment="1">
      <alignment horizontal="center"/>
    </xf>
    <xf numFmtId="187" fontId="70" fillId="0" borderId="3" xfId="4" applyNumberFormat="1" applyFont="1" applyBorder="1" applyAlignment="1">
      <alignment horizontal="center"/>
    </xf>
    <xf numFmtId="187" fontId="70" fillId="0" borderId="16" xfId="4" applyNumberFormat="1" applyFont="1" applyBorder="1" applyAlignment="1">
      <alignment horizontal="center"/>
    </xf>
    <xf numFmtId="187" fontId="70" fillId="0" borderId="4" xfId="4" applyNumberFormat="1" applyFont="1" applyBorder="1" applyAlignment="1">
      <alignment horizontal="center"/>
    </xf>
    <xf numFmtId="187" fontId="70" fillId="2" borderId="2" xfId="4" applyNumberFormat="1" applyFont="1" applyFill="1" applyBorder="1" applyAlignment="1">
      <alignment horizontal="center" vertical="center"/>
    </xf>
    <xf numFmtId="0" fontId="70" fillId="0" borderId="5" xfId="5" applyFont="1" applyBorder="1" applyAlignment="1">
      <alignment horizontal="center" vertical="center"/>
    </xf>
    <xf numFmtId="187" fontId="70" fillId="2" borderId="14" xfId="4" applyNumberFormat="1" applyFont="1" applyFill="1" applyBorder="1" applyAlignment="1">
      <alignment horizontal="center" vertical="center"/>
    </xf>
    <xf numFmtId="4" fontId="70" fillId="2" borderId="2" xfId="4" applyNumberFormat="1" applyFont="1" applyFill="1" applyBorder="1" applyAlignment="1">
      <alignment horizontal="center" vertical="center"/>
    </xf>
    <xf numFmtId="4" fontId="70" fillId="0" borderId="5" xfId="5" applyNumberFormat="1" applyFont="1" applyBorder="1" applyAlignment="1">
      <alignment horizontal="center" vertical="center"/>
    </xf>
    <xf numFmtId="187" fontId="70" fillId="2" borderId="3" xfId="4" applyNumberFormat="1" applyFont="1" applyFill="1" applyBorder="1" applyAlignment="1">
      <alignment horizontal="center" vertical="center"/>
    </xf>
    <xf numFmtId="0" fontId="70" fillId="0" borderId="4" xfId="5" applyFont="1" applyBorder="1" applyAlignment="1">
      <alignment horizontal="center" vertical="center"/>
    </xf>
    <xf numFmtId="0" fontId="63" fillId="0" borderId="9" xfId="72" applyFont="1" applyFill="1" applyBorder="1" applyAlignment="1">
      <alignment vertical="top"/>
    </xf>
    <xf numFmtId="0" fontId="63" fillId="0" borderId="9" xfId="6" applyFont="1" applyBorder="1" applyAlignment="1">
      <alignment vertical="top"/>
    </xf>
    <xf numFmtId="0" fontId="63" fillId="0" borderId="36" xfId="5" applyFont="1" applyBorder="1" applyAlignment="1"/>
    <xf numFmtId="0" fontId="63" fillId="0" borderId="36" xfId="6" applyFont="1" applyBorder="1" applyAlignment="1"/>
    <xf numFmtId="0" fontId="64" fillId="0" borderId="37" xfId="5" applyFont="1" applyBorder="1" applyAlignment="1">
      <alignment horizontal="center" vertical="center"/>
    </xf>
    <xf numFmtId="0" fontId="64" fillId="0" borderId="41" xfId="5" applyFont="1" applyBorder="1" applyAlignment="1">
      <alignment horizontal="center" vertical="center"/>
    </xf>
    <xf numFmtId="0" fontId="64" fillId="0" borderId="38" xfId="5" applyFont="1" applyBorder="1" applyAlignment="1">
      <alignment horizontal="center" vertical="center"/>
    </xf>
    <xf numFmtId="0" fontId="64" fillId="0" borderId="39" xfId="5" applyFont="1" applyBorder="1" applyAlignment="1">
      <alignment horizontal="center" vertical="center"/>
    </xf>
    <xf numFmtId="0" fontId="64" fillId="0" borderId="40" xfId="5" applyFont="1" applyBorder="1" applyAlignment="1">
      <alignment horizontal="center" vertical="center"/>
    </xf>
    <xf numFmtId="0" fontId="64" fillId="0" borderId="42" xfId="5" applyFont="1" applyBorder="1" applyAlignment="1">
      <alignment horizontal="center" vertical="center"/>
    </xf>
    <xf numFmtId="0" fontId="64" fillId="0" borderId="1" xfId="5" applyFont="1" applyBorder="1" applyAlignment="1">
      <alignment horizontal="center" vertical="center"/>
    </xf>
    <xf numFmtId="0" fontId="64" fillId="0" borderId="43" xfId="5" applyFont="1" applyBorder="1" applyAlignment="1">
      <alignment horizontal="center" vertical="center"/>
    </xf>
    <xf numFmtId="0" fontId="64" fillId="5" borderId="38" xfId="72" applyFont="1" applyFill="1" applyBorder="1" applyAlignment="1">
      <alignment horizontal="center" vertical="center"/>
    </xf>
    <xf numFmtId="0" fontId="64" fillId="5" borderId="39" xfId="72" applyFont="1" applyFill="1" applyBorder="1" applyAlignment="1">
      <alignment horizontal="center" vertical="center"/>
    </xf>
    <xf numFmtId="0" fontId="64" fillId="5" borderId="40" xfId="72" applyFont="1" applyFill="1" applyBorder="1" applyAlignment="1">
      <alignment horizontal="center" vertical="center"/>
    </xf>
    <xf numFmtId="0" fontId="63" fillId="0" borderId="15" xfId="5" applyFont="1" applyBorder="1" applyAlignment="1"/>
    <xf numFmtId="0" fontId="63" fillId="0" borderId="20" xfId="6" applyFont="1" applyBorder="1" applyAlignment="1"/>
    <xf numFmtId="190" fontId="63" fillId="0" borderId="19" xfId="74" applyFont="1" applyBorder="1" applyAlignment="1">
      <alignment horizontal="left" vertical="top"/>
    </xf>
    <xf numFmtId="0" fontId="63" fillId="0" borderId="11" xfId="6" applyFont="1" applyBorder="1" applyAlignment="1">
      <alignment vertical="top"/>
    </xf>
    <xf numFmtId="0" fontId="63" fillId="0" borderId="48" xfId="6" applyFont="1" applyBorder="1" applyAlignment="1">
      <alignment vertical="top"/>
    </xf>
    <xf numFmtId="43" fontId="63" fillId="0" borderId="15" xfId="1" applyFont="1" applyBorder="1" applyAlignment="1">
      <alignment horizontal="center"/>
    </xf>
    <xf numFmtId="43" fontId="63" fillId="0" borderId="9" xfId="1" applyFont="1" applyBorder="1" applyAlignment="1">
      <alignment horizontal="center"/>
    </xf>
    <xf numFmtId="43" fontId="63" fillId="0" borderId="20" xfId="1" applyFont="1" applyBorder="1" applyAlignment="1">
      <alignment horizontal="center"/>
    </xf>
    <xf numFmtId="0" fontId="63" fillId="0" borderId="15" xfId="5" applyFont="1" applyBorder="1" applyAlignment="1">
      <alignment horizontal="center"/>
    </xf>
    <xf numFmtId="0" fontId="63" fillId="0" borderId="20" xfId="5" applyFont="1" applyBorder="1" applyAlignment="1">
      <alignment horizontal="center"/>
    </xf>
    <xf numFmtId="190" fontId="63" fillId="0" borderId="15" xfId="74" applyFont="1" applyBorder="1" applyAlignment="1">
      <alignment horizontal="center" vertical="top"/>
    </xf>
    <xf numFmtId="190" fontId="63" fillId="0" borderId="9" xfId="74" applyFont="1" applyBorder="1" applyAlignment="1">
      <alignment horizontal="center" vertical="top"/>
    </xf>
    <xf numFmtId="190" fontId="63" fillId="0" borderId="20" xfId="74" applyFont="1" applyBorder="1" applyAlignment="1">
      <alignment horizontal="center" vertical="top"/>
    </xf>
    <xf numFmtId="43" fontId="64" fillId="5" borderId="42" xfId="63" applyFont="1" applyFill="1" applyBorder="1" applyAlignment="1">
      <alignment horizontal="center" vertical="center"/>
    </xf>
    <xf numFmtId="43" fontId="64" fillId="5" borderId="1" xfId="63" applyFont="1" applyFill="1" applyBorder="1" applyAlignment="1">
      <alignment horizontal="center" vertical="center"/>
    </xf>
    <xf numFmtId="43" fontId="64" fillId="5" borderId="43" xfId="63" applyFont="1" applyFill="1" applyBorder="1" applyAlignment="1">
      <alignment horizontal="center" vertical="center"/>
    </xf>
    <xf numFmtId="190" fontId="63" fillId="0" borderId="45" xfId="74" applyFont="1" applyBorder="1" applyAlignment="1">
      <alignment horizontal="left" vertical="top"/>
    </xf>
    <xf numFmtId="0" fontId="63" fillId="0" borderId="46" xfId="6" applyFont="1" applyBorder="1" applyAlignment="1">
      <alignment vertical="top"/>
    </xf>
    <xf numFmtId="0" fontId="63" fillId="0" borderId="47" xfId="6" applyFont="1" applyBorder="1" applyAlignment="1">
      <alignment vertical="top"/>
    </xf>
    <xf numFmtId="190" fontId="63" fillId="0" borderId="19" xfId="74" applyFont="1" applyBorder="1" applyAlignment="1">
      <alignment horizontal="center" vertical="top"/>
    </xf>
    <xf numFmtId="190" fontId="63" fillId="0" borderId="11" xfId="74" applyFont="1" applyBorder="1" applyAlignment="1">
      <alignment horizontal="center" vertical="top"/>
    </xf>
    <xf numFmtId="190" fontId="63" fillId="0" borderId="48" xfId="74" applyFont="1" applyBorder="1" applyAlignment="1">
      <alignment horizontal="center" vertical="top"/>
    </xf>
    <xf numFmtId="200" fontId="63" fillId="0" borderId="38" xfId="5" applyNumberFormat="1" applyFont="1" applyBorder="1" applyAlignment="1">
      <alignment horizontal="center" vertical="top"/>
    </xf>
    <xf numFmtId="200" fontId="63" fillId="0" borderId="40" xfId="5" applyNumberFormat="1" applyFont="1" applyBorder="1" applyAlignment="1">
      <alignment horizontal="center" vertical="top"/>
    </xf>
    <xf numFmtId="0" fontId="63" fillId="0" borderId="45" xfId="5" applyFont="1" applyBorder="1" applyAlignment="1">
      <alignment vertical="top"/>
    </xf>
    <xf numFmtId="0" fontId="62" fillId="0" borderId="25" xfId="5" applyFont="1" applyBorder="1" applyAlignment="1">
      <alignment horizontal="center" vertical="center"/>
    </xf>
    <xf numFmtId="0" fontId="63" fillId="0" borderId="11" xfId="5" applyFont="1" applyBorder="1" applyAlignment="1">
      <alignment vertical="top"/>
    </xf>
    <xf numFmtId="0" fontId="63" fillId="0" borderId="9" xfId="5" applyFont="1" applyBorder="1" applyAlignment="1">
      <alignment vertical="top"/>
    </xf>
    <xf numFmtId="0" fontId="63" fillId="0" borderId="9" xfId="5" applyFont="1" applyFill="1" applyBorder="1" applyAlignment="1">
      <alignment horizontal="center" vertical="top"/>
    </xf>
    <xf numFmtId="190" fontId="63" fillId="0" borderId="15" xfId="74" applyFont="1" applyBorder="1" applyAlignment="1">
      <alignment horizontal="center"/>
    </xf>
    <xf numFmtId="190" fontId="63" fillId="0" borderId="9" xfId="74" applyFont="1" applyBorder="1" applyAlignment="1">
      <alignment horizontal="center"/>
    </xf>
    <xf numFmtId="190" fontId="63" fillId="0" borderId="20" xfId="74" applyFont="1" applyBorder="1" applyAlignment="1">
      <alignment horizontal="center"/>
    </xf>
    <xf numFmtId="0" fontId="63" fillId="0" borderId="17" xfId="5" applyFont="1" applyBorder="1" applyAlignment="1">
      <alignment horizontal="left"/>
    </xf>
    <xf numFmtId="0" fontId="63" fillId="0" borderId="49" xfId="6" applyFont="1" applyBorder="1" applyAlignment="1"/>
    <xf numFmtId="201" fontId="63" fillId="0" borderId="49" xfId="70" applyNumberFormat="1" applyFont="1" applyFill="1" applyBorder="1" applyAlignment="1" applyProtection="1">
      <alignment vertical="center"/>
      <protection locked="0"/>
    </xf>
    <xf numFmtId="0" fontId="63" fillId="0" borderId="18" xfId="6" applyFont="1" applyBorder="1" applyAlignment="1">
      <alignment vertical="center"/>
    </xf>
    <xf numFmtId="190" fontId="63" fillId="0" borderId="15" xfId="5" applyNumberFormat="1" applyFont="1" applyBorder="1" applyAlignment="1">
      <alignment horizontal="center"/>
    </xf>
    <xf numFmtId="0" fontId="63" fillId="0" borderId="9" xfId="5" applyFont="1" applyBorder="1" applyAlignment="1">
      <alignment horizontal="center"/>
    </xf>
    <xf numFmtId="0" fontId="65" fillId="0" borderId="3" xfId="5" applyFont="1" applyBorder="1" applyAlignment="1">
      <alignment horizontal="center" vertical="center"/>
    </xf>
    <xf numFmtId="0" fontId="65" fillId="0" borderId="16" xfId="5" applyFont="1" applyBorder="1" applyAlignment="1">
      <alignment horizontal="center" vertical="center"/>
    </xf>
    <xf numFmtId="0" fontId="65" fillId="0" borderId="4" xfId="5" applyFont="1" applyBorder="1" applyAlignment="1">
      <alignment horizontal="center" vertical="center"/>
    </xf>
    <xf numFmtId="0" fontId="63" fillId="0" borderId="15" xfId="5" applyFont="1" applyBorder="1" applyAlignment="1">
      <alignment horizontal="left" vertical="center"/>
    </xf>
    <xf numFmtId="0" fontId="63" fillId="0" borderId="9" xfId="6" applyFont="1" applyBorder="1" applyAlignment="1"/>
    <xf numFmtId="201" fontId="63" fillId="0" borderId="9" xfId="70" applyNumberFormat="1" applyFont="1" applyFill="1" applyBorder="1" applyAlignment="1" applyProtection="1">
      <alignment vertical="center"/>
      <protection locked="0"/>
    </xf>
    <xf numFmtId="0" fontId="63" fillId="0" borderId="20" xfId="6" applyFont="1" applyBorder="1" applyAlignment="1">
      <alignment vertical="center"/>
    </xf>
    <xf numFmtId="0" fontId="63" fillId="0" borderId="19" xfId="5" applyFont="1" applyBorder="1" applyAlignment="1">
      <alignment horizontal="left" vertical="top"/>
    </xf>
    <xf numFmtId="190" fontId="63" fillId="0" borderId="53" xfId="74" applyFont="1" applyBorder="1" applyAlignment="1">
      <alignment horizontal="center"/>
    </xf>
    <xf numFmtId="190" fontId="63" fillId="0" borderId="25" xfId="74" applyFont="1" applyBorder="1" applyAlignment="1">
      <alignment horizontal="center"/>
    </xf>
    <xf numFmtId="190" fontId="63" fillId="0" borderId="26" xfId="74" applyFont="1" applyBorder="1" applyAlignment="1">
      <alignment horizontal="center"/>
    </xf>
    <xf numFmtId="0" fontId="66" fillId="0" borderId="51" xfId="5" applyFont="1" applyBorder="1" applyAlignment="1">
      <alignment horizontal="center" vertical="top"/>
    </xf>
    <xf numFmtId="0" fontId="66" fillId="0" borderId="36" xfId="5" applyFont="1" applyBorder="1" applyAlignment="1">
      <alignment horizontal="center" vertical="top"/>
    </xf>
    <xf numFmtId="0" fontId="66" fillId="0" borderId="52" xfId="5" applyFont="1" applyBorder="1" applyAlignment="1">
      <alignment horizontal="center" vertical="top"/>
    </xf>
    <xf numFmtId="0" fontId="63" fillId="0" borderId="19" xfId="5" applyFont="1" applyBorder="1" applyAlignment="1"/>
    <xf numFmtId="0" fontId="63" fillId="0" borderId="48" xfId="6" applyFont="1" applyBorder="1" applyAlignment="1"/>
    <xf numFmtId="190" fontId="62" fillId="0" borderId="54" xfId="74" applyFont="1" applyFill="1" applyBorder="1" applyAlignment="1">
      <alignment horizontal="center" vertical="center"/>
    </xf>
    <xf numFmtId="190" fontId="62" fillId="0" borderId="55" xfId="74" applyFont="1" applyFill="1" applyBorder="1" applyAlignment="1">
      <alignment horizontal="center" vertical="center"/>
    </xf>
    <xf numFmtId="190" fontId="62" fillId="0" borderId="56" xfId="74" applyFont="1" applyFill="1" applyBorder="1" applyAlignment="1">
      <alignment horizontal="center" vertical="center"/>
    </xf>
    <xf numFmtId="0" fontId="63" fillId="0" borderId="51" xfId="5" applyFont="1" applyBorder="1" applyAlignment="1">
      <alignment horizontal="left" vertical="center"/>
    </xf>
    <xf numFmtId="201" fontId="63" fillId="0" borderId="36" xfId="70" applyNumberFormat="1" applyFont="1" applyFill="1" applyBorder="1" applyAlignment="1" applyProtection="1">
      <alignment vertical="center"/>
      <protection locked="0"/>
    </xf>
    <xf numFmtId="0" fontId="63" fillId="0" borderId="52" xfId="6" applyFont="1" applyBorder="1" applyAlignment="1">
      <alignment vertical="center"/>
    </xf>
    <xf numFmtId="0" fontId="63" fillId="0" borderId="51" xfId="5" applyFont="1" applyBorder="1" applyAlignment="1">
      <alignment horizontal="center"/>
    </xf>
    <xf numFmtId="0" fontId="63" fillId="0" borderId="36" xfId="5" applyFont="1" applyBorder="1" applyAlignment="1">
      <alignment horizontal="center"/>
    </xf>
    <xf numFmtId="0" fontId="63" fillId="0" borderId="52" xfId="5" applyFont="1" applyBorder="1" applyAlignment="1">
      <alignment horizontal="center"/>
    </xf>
    <xf numFmtId="190" fontId="63" fillId="0" borderId="51" xfId="74" applyFont="1" applyBorder="1" applyAlignment="1">
      <alignment horizontal="center"/>
    </xf>
    <xf numFmtId="190" fontId="63" fillId="0" borderId="36" xfId="74" applyFont="1" applyBorder="1" applyAlignment="1">
      <alignment horizontal="center"/>
    </xf>
    <xf numFmtId="190" fontId="63" fillId="0" borderId="52" xfId="74" applyFont="1" applyBorder="1" applyAlignment="1">
      <alignment horizontal="center"/>
    </xf>
    <xf numFmtId="0" fontId="63" fillId="0" borderId="51" xfId="5" applyFont="1" applyBorder="1" applyAlignment="1"/>
    <xf numFmtId="0" fontId="63" fillId="0" borderId="52" xfId="6" applyFont="1" applyBorder="1" applyAlignment="1"/>
    <xf numFmtId="0" fontId="61" fillId="0" borderId="0" xfId="0" applyFont="1" applyBorder="1" applyAlignment="1">
      <alignment horizontal="center"/>
    </xf>
    <xf numFmtId="187" fontId="9" fillId="2" borderId="14" xfId="4" applyNumberFormat="1" applyFont="1" applyFill="1" applyBorder="1" applyAlignment="1">
      <alignment horizontal="center" vertical="center"/>
    </xf>
    <xf numFmtId="0" fontId="50" fillId="0" borderId="25" xfId="5" applyFont="1" applyBorder="1" applyAlignment="1">
      <alignment horizontal="center" vertical="center"/>
    </xf>
    <xf numFmtId="0" fontId="51" fillId="0" borderId="11" xfId="5" applyFont="1" applyBorder="1" applyAlignment="1">
      <alignment vertical="top"/>
    </xf>
    <xf numFmtId="0" fontId="51" fillId="0" borderId="11" xfId="6" applyFont="1" applyBorder="1" applyAlignment="1">
      <alignment vertical="top"/>
    </xf>
    <xf numFmtId="0" fontId="51" fillId="0" borderId="9" xfId="5" applyFont="1" applyBorder="1" applyAlignment="1">
      <alignment vertical="top"/>
    </xf>
    <xf numFmtId="0" fontId="51" fillId="0" borderId="9" xfId="6" applyFont="1" applyBorder="1" applyAlignment="1">
      <alignment vertical="top"/>
    </xf>
    <xf numFmtId="0" fontId="51" fillId="0" borderId="9" xfId="5" applyFont="1" applyFill="1" applyBorder="1" applyAlignment="1">
      <alignment horizontal="center" vertical="top"/>
    </xf>
    <xf numFmtId="0" fontId="51" fillId="0" borderId="9" xfId="72" applyFont="1" applyFill="1" applyBorder="1" applyAlignment="1">
      <alignment vertical="top"/>
    </xf>
    <xf numFmtId="0" fontId="51" fillId="0" borderId="36" xfId="5" applyFont="1" applyBorder="1" applyAlignment="1"/>
    <xf numFmtId="0" fontId="51" fillId="0" borderId="36" xfId="6" applyFont="1" applyBorder="1" applyAlignment="1"/>
    <xf numFmtId="0" fontId="52" fillId="0" borderId="37" xfId="5" applyFont="1" applyBorder="1" applyAlignment="1">
      <alignment horizontal="center" vertical="center"/>
    </xf>
    <xf numFmtId="0" fontId="52" fillId="0" borderId="41" xfId="5" applyFont="1" applyBorder="1" applyAlignment="1">
      <alignment horizontal="center" vertical="center"/>
    </xf>
    <xf numFmtId="0" fontId="52" fillId="0" borderId="38" xfId="5" applyFont="1" applyBorder="1" applyAlignment="1">
      <alignment horizontal="center" vertical="center"/>
    </xf>
    <xf numFmtId="0" fontId="52" fillId="0" borderId="39" xfId="5" applyFont="1" applyBorder="1" applyAlignment="1">
      <alignment horizontal="center" vertical="center"/>
    </xf>
    <xf numFmtId="0" fontId="52" fillId="0" borderId="40" xfId="5" applyFont="1" applyBorder="1" applyAlignment="1">
      <alignment horizontal="center" vertical="center"/>
    </xf>
    <xf numFmtId="0" fontId="52" fillId="0" borderId="42" xfId="5" applyFont="1" applyBorder="1" applyAlignment="1">
      <alignment horizontal="center" vertical="center"/>
    </xf>
    <xf numFmtId="0" fontId="52" fillId="0" borderId="1" xfId="5" applyFont="1" applyBorder="1" applyAlignment="1">
      <alignment horizontal="center" vertical="center"/>
    </xf>
    <xf numFmtId="0" fontId="52" fillId="0" borderId="43" xfId="5" applyFont="1" applyBorder="1" applyAlignment="1">
      <alignment horizontal="center" vertical="center"/>
    </xf>
    <xf numFmtId="0" fontId="52" fillId="5" borderId="38" xfId="72" applyFont="1" applyFill="1" applyBorder="1" applyAlignment="1">
      <alignment horizontal="center" vertical="center"/>
    </xf>
    <xf numFmtId="0" fontId="52" fillId="5" borderId="39" xfId="72" applyFont="1" applyFill="1" applyBorder="1" applyAlignment="1">
      <alignment horizontal="center" vertical="center"/>
    </xf>
    <xf numFmtId="0" fontId="52" fillId="5" borderId="40" xfId="72" applyFont="1" applyFill="1" applyBorder="1" applyAlignment="1">
      <alignment horizontal="center" vertical="center"/>
    </xf>
    <xf numFmtId="0" fontId="51" fillId="0" borderId="15" xfId="5" applyFont="1" applyBorder="1" applyAlignment="1"/>
    <xf numFmtId="0" fontId="51" fillId="0" borderId="20" xfId="6" applyFont="1" applyBorder="1" applyAlignment="1"/>
    <xf numFmtId="190" fontId="51" fillId="0" borderId="19" xfId="74" applyFont="1" applyBorder="1" applyAlignment="1">
      <alignment horizontal="left" vertical="top"/>
    </xf>
    <xf numFmtId="0" fontId="51" fillId="0" borderId="48" xfId="6" applyFont="1" applyBorder="1" applyAlignment="1">
      <alignment vertical="top"/>
    </xf>
    <xf numFmtId="43" fontId="51" fillId="0" borderId="15" xfId="1" applyFont="1" applyBorder="1" applyAlignment="1">
      <alignment horizontal="center"/>
    </xf>
    <xf numFmtId="43" fontId="51" fillId="0" borderId="9" xfId="1" applyFont="1" applyBorder="1" applyAlignment="1">
      <alignment horizontal="center"/>
    </xf>
    <xf numFmtId="43" fontId="51" fillId="0" borderId="20" xfId="1" applyFont="1" applyBorder="1" applyAlignment="1">
      <alignment horizontal="center"/>
    </xf>
    <xf numFmtId="0" fontId="51" fillId="0" borderId="15" xfId="5" applyFont="1" applyBorder="1" applyAlignment="1">
      <alignment horizontal="center"/>
    </xf>
    <xf numFmtId="0" fontId="51" fillId="0" borderId="20" xfId="5" applyFont="1" applyBorder="1" applyAlignment="1">
      <alignment horizontal="center"/>
    </xf>
    <xf numFmtId="190" fontId="51" fillId="0" borderId="15" xfId="74" applyFont="1" applyBorder="1" applyAlignment="1">
      <alignment horizontal="center" vertical="top"/>
    </xf>
    <xf numFmtId="190" fontId="51" fillId="0" borderId="9" xfId="74" applyFont="1" applyBorder="1" applyAlignment="1">
      <alignment horizontal="center" vertical="top"/>
    </xf>
    <xf numFmtId="190" fontId="51" fillId="0" borderId="20" xfId="74" applyFont="1" applyBorder="1" applyAlignment="1">
      <alignment horizontal="center" vertical="top"/>
    </xf>
    <xf numFmtId="43" fontId="52" fillId="5" borderId="42" xfId="63" applyFont="1" applyFill="1" applyBorder="1" applyAlignment="1">
      <alignment horizontal="center" vertical="center"/>
    </xf>
    <xf numFmtId="43" fontId="52" fillId="5" borderId="1" xfId="63" applyFont="1" applyFill="1" applyBorder="1" applyAlignment="1">
      <alignment horizontal="center" vertical="center"/>
    </xf>
    <xf numFmtId="43" fontId="52" fillId="5" borderId="43" xfId="63" applyFont="1" applyFill="1" applyBorder="1" applyAlignment="1">
      <alignment horizontal="center" vertical="center"/>
    </xf>
    <xf numFmtId="190" fontId="51" fillId="0" borderId="45" xfId="74" applyFont="1" applyBorder="1" applyAlignment="1">
      <alignment horizontal="left" vertical="top"/>
    </xf>
    <xf numFmtId="0" fontId="51" fillId="0" borderId="46" xfId="6" applyFont="1" applyBorder="1" applyAlignment="1">
      <alignment vertical="top"/>
    </xf>
    <xf numFmtId="0" fontId="51" fillId="0" borderId="47" xfId="6" applyFont="1" applyBorder="1" applyAlignment="1">
      <alignment vertical="top"/>
    </xf>
    <xf numFmtId="190" fontId="51" fillId="0" borderId="19" xfId="74" applyFont="1" applyBorder="1" applyAlignment="1">
      <alignment horizontal="center" vertical="top"/>
    </xf>
    <xf numFmtId="190" fontId="51" fillId="0" borderId="11" xfId="74" applyFont="1" applyBorder="1" applyAlignment="1">
      <alignment horizontal="center" vertical="top"/>
    </xf>
    <xf numFmtId="190" fontId="51" fillId="0" borderId="48" xfId="74" applyFont="1" applyBorder="1" applyAlignment="1">
      <alignment horizontal="center" vertical="top"/>
    </xf>
    <xf numFmtId="200" fontId="51" fillId="0" borderId="38" xfId="5" applyNumberFormat="1" applyFont="1" applyBorder="1" applyAlignment="1">
      <alignment horizontal="center" vertical="top"/>
    </xf>
    <xf numFmtId="200" fontId="51" fillId="0" borderId="40" xfId="5" applyNumberFormat="1" applyFont="1" applyBorder="1" applyAlignment="1">
      <alignment horizontal="center" vertical="top"/>
    </xf>
    <xf numFmtId="0" fontId="51" fillId="0" borderId="45" xfId="5" applyFont="1" applyBorder="1" applyAlignment="1">
      <alignment vertical="top"/>
    </xf>
    <xf numFmtId="190" fontId="51" fillId="0" borderId="15" xfId="74" applyFont="1" applyBorder="1" applyAlignment="1">
      <alignment horizontal="center"/>
    </xf>
    <xf numFmtId="190" fontId="51" fillId="0" borderId="9" xfId="74" applyFont="1" applyBorder="1" applyAlignment="1">
      <alignment horizontal="center"/>
    </xf>
    <xf numFmtId="190" fontId="51" fillId="0" borderId="20" xfId="74" applyFont="1" applyBorder="1" applyAlignment="1">
      <alignment horizontal="center"/>
    </xf>
    <xf numFmtId="0" fontId="51" fillId="0" borderId="17" xfId="5" applyFont="1" applyBorder="1" applyAlignment="1">
      <alignment horizontal="left"/>
    </xf>
    <xf numFmtId="0" fontId="51" fillId="0" borderId="49" xfId="6" applyFont="1" applyBorder="1" applyAlignment="1"/>
    <xf numFmtId="201" fontId="51" fillId="0" borderId="49" xfId="70" applyNumberFormat="1" applyFont="1" applyFill="1" applyBorder="1" applyAlignment="1" applyProtection="1">
      <alignment vertical="center"/>
      <protection locked="0"/>
    </xf>
    <xf numFmtId="0" fontId="51" fillId="0" borderId="18" xfId="6" applyFont="1" applyBorder="1" applyAlignment="1">
      <alignment vertical="center"/>
    </xf>
    <xf numFmtId="190" fontId="51" fillId="0" borderId="15" xfId="5" applyNumberFormat="1" applyFont="1" applyBorder="1" applyAlignment="1">
      <alignment horizontal="center"/>
    </xf>
    <xf numFmtId="0" fontId="51" fillId="0" borderId="9" xfId="5" applyFont="1" applyBorder="1" applyAlignment="1">
      <alignment horizontal="center"/>
    </xf>
    <xf numFmtId="0" fontId="53" fillId="0" borderId="3" xfId="5" applyFont="1" applyBorder="1" applyAlignment="1">
      <alignment horizontal="center" vertical="center"/>
    </xf>
    <xf numFmtId="0" fontId="53" fillId="0" borderId="16" xfId="5" applyFont="1" applyBorder="1" applyAlignment="1">
      <alignment horizontal="center" vertical="center"/>
    </xf>
    <xf numFmtId="0" fontId="53" fillId="0" borderId="4" xfId="5" applyFont="1" applyBorder="1" applyAlignment="1">
      <alignment horizontal="center" vertical="center"/>
    </xf>
    <xf numFmtId="0" fontId="51" fillId="0" borderId="15" xfId="5" applyFont="1" applyBorder="1" applyAlignment="1">
      <alignment horizontal="left" vertical="center"/>
    </xf>
    <xf numFmtId="0" fontId="51" fillId="0" borderId="9" xfId="6" applyFont="1" applyBorder="1" applyAlignment="1"/>
    <xf numFmtId="201" fontId="51" fillId="0" borderId="9" xfId="70" applyNumberFormat="1" applyFont="1" applyFill="1" applyBorder="1" applyAlignment="1" applyProtection="1">
      <alignment vertical="center"/>
      <protection locked="0"/>
    </xf>
    <xf numFmtId="0" fontId="51" fillId="0" borderId="20" xfId="6" applyFont="1" applyBorder="1" applyAlignment="1">
      <alignment vertical="center"/>
    </xf>
    <xf numFmtId="0" fontId="51" fillId="0" borderId="19" xfId="5" applyFont="1" applyBorder="1" applyAlignment="1"/>
    <xf numFmtId="0" fontId="51" fillId="0" borderId="48" xfId="6" applyFont="1" applyBorder="1" applyAlignment="1"/>
    <xf numFmtId="0" fontId="50" fillId="0" borderId="51" xfId="5" applyFont="1" applyBorder="1" applyAlignment="1">
      <alignment horizontal="left" vertical="top"/>
    </xf>
    <xf numFmtId="0" fontId="51" fillId="0" borderId="36" xfId="6" applyFont="1" applyBorder="1" applyAlignment="1">
      <alignment vertical="top"/>
    </xf>
    <xf numFmtId="0" fontId="50" fillId="0" borderId="36" xfId="5" applyFont="1" applyBorder="1" applyAlignment="1">
      <alignment horizontal="center" vertical="top"/>
    </xf>
    <xf numFmtId="0" fontId="50" fillId="0" borderId="52" xfId="5" applyFont="1" applyBorder="1" applyAlignment="1">
      <alignment horizontal="center" vertical="top"/>
    </xf>
    <xf numFmtId="190" fontId="50" fillId="0" borderId="54" xfId="74" applyFont="1" applyFill="1" applyBorder="1" applyAlignment="1">
      <alignment horizontal="center" vertical="center"/>
    </xf>
    <xf numFmtId="190" fontId="50" fillId="0" borderId="55" xfId="74" applyFont="1" applyFill="1" applyBorder="1" applyAlignment="1">
      <alignment horizontal="center" vertical="center"/>
    </xf>
    <xf numFmtId="190" fontId="50" fillId="0" borderId="56" xfId="74" applyFont="1" applyFill="1" applyBorder="1" applyAlignment="1">
      <alignment horizontal="center" vertical="center"/>
    </xf>
    <xf numFmtId="0" fontId="51" fillId="0" borderId="51" xfId="5" applyFont="1" applyBorder="1" applyAlignment="1">
      <alignment horizontal="left" vertical="center"/>
    </xf>
    <xf numFmtId="201" fontId="51" fillId="0" borderId="36" xfId="70" applyNumberFormat="1" applyFont="1" applyFill="1" applyBorder="1" applyAlignment="1" applyProtection="1">
      <alignment vertical="center"/>
      <protection locked="0"/>
    </xf>
    <xf numFmtId="0" fontId="51" fillId="0" borderId="52" xfId="6" applyFont="1" applyBorder="1" applyAlignment="1">
      <alignment vertical="center"/>
    </xf>
    <xf numFmtId="0" fontId="51" fillId="0" borderId="51" xfId="5" applyFont="1" applyBorder="1" applyAlignment="1">
      <alignment horizontal="center"/>
    </xf>
    <xf numFmtId="0" fontId="51" fillId="0" borderId="36" xfId="5" applyFont="1" applyBorder="1" applyAlignment="1">
      <alignment horizontal="center"/>
    </xf>
    <xf numFmtId="0" fontId="51" fillId="0" borderId="52" xfId="5" applyFont="1" applyBorder="1" applyAlignment="1">
      <alignment horizontal="center"/>
    </xf>
    <xf numFmtId="190" fontId="51" fillId="0" borderId="51" xfId="74" applyFont="1" applyBorder="1" applyAlignment="1">
      <alignment horizontal="center"/>
    </xf>
    <xf numFmtId="190" fontId="51" fillId="0" borderId="36" xfId="74" applyFont="1" applyBorder="1" applyAlignment="1">
      <alignment horizontal="center"/>
    </xf>
    <xf numFmtId="190" fontId="51" fillId="0" borderId="52" xfId="74" applyFont="1" applyBorder="1" applyAlignment="1">
      <alignment horizontal="center"/>
    </xf>
    <xf numFmtId="0" fontId="51" fillId="0" borderId="51" xfId="5" applyFont="1" applyBorder="1" applyAlignment="1"/>
    <xf numFmtId="0" fontId="51" fillId="0" borderId="52" xfId="6" applyFont="1" applyBorder="1" applyAlignment="1"/>
    <xf numFmtId="0" fontId="51" fillId="0" borderId="11" xfId="5" applyFont="1" applyBorder="1" applyAlignment="1">
      <alignment horizontal="left" vertical="center"/>
    </xf>
    <xf numFmtId="0" fontId="51" fillId="0" borderId="11" xfId="6" applyFont="1" applyBorder="1" applyAlignment="1"/>
    <xf numFmtId="190" fontId="51" fillId="0" borderId="11" xfId="1" applyNumberFormat="1" applyFont="1" applyBorder="1" applyAlignment="1">
      <alignment horizontal="center" vertical="center"/>
    </xf>
    <xf numFmtId="0" fontId="51" fillId="0" borderId="57" xfId="5" applyFont="1" applyBorder="1" applyAlignment="1">
      <alignment horizontal="left" vertical="center"/>
    </xf>
    <xf numFmtId="0" fontId="51" fillId="0" borderId="57" xfId="6" applyFont="1" applyBorder="1" applyAlignment="1"/>
    <xf numFmtId="43" fontId="51" fillId="0" borderId="57" xfId="1" applyFont="1" applyBorder="1" applyAlignment="1">
      <alignment horizontal="center" vertical="center"/>
    </xf>
    <xf numFmtId="0" fontId="51" fillId="0" borderId="0" xfId="69" applyFont="1" applyBorder="1" applyAlignment="1">
      <alignment horizontal="center" vertical="top"/>
    </xf>
    <xf numFmtId="0" fontId="55" fillId="0" borderId="0" xfId="69" applyFont="1" applyBorder="1" applyAlignment="1" applyProtection="1">
      <alignment vertical="top"/>
      <protection hidden="1"/>
    </xf>
    <xf numFmtId="0" fontId="56" fillId="5" borderId="0" xfId="69" applyFont="1" applyFill="1" applyAlignment="1" applyProtection="1">
      <alignment horizontal="center" vertical="top"/>
      <protection hidden="1"/>
    </xf>
    <xf numFmtId="0" fontId="51" fillId="0" borderId="19" xfId="5" applyFont="1" applyBorder="1" applyAlignment="1">
      <alignment horizontal="left" vertical="top"/>
    </xf>
    <xf numFmtId="190" fontId="51" fillId="0" borderId="53" xfId="74" applyFont="1" applyBorder="1" applyAlignment="1">
      <alignment horizontal="center"/>
    </xf>
    <xf numFmtId="190" fontId="51" fillId="0" borderId="25" xfId="74" applyFont="1" applyBorder="1" applyAlignment="1">
      <alignment horizontal="center"/>
    </xf>
    <xf numFmtId="190" fontId="51" fillId="0" borderId="26" xfId="74" applyFont="1" applyBorder="1" applyAlignment="1">
      <alignment horizontal="center"/>
    </xf>
    <xf numFmtId="0" fontId="7" fillId="5" borderId="0" xfId="69" applyFont="1" applyFill="1" applyAlignment="1" applyProtection="1">
      <alignment horizontal="center" vertical="top"/>
      <protection hidden="1"/>
    </xf>
    <xf numFmtId="0" fontId="59" fillId="5" borderId="0" xfId="69" applyFont="1" applyFill="1" applyBorder="1" applyAlignment="1">
      <alignment horizontal="center" vertical="top"/>
    </xf>
    <xf numFmtId="0" fontId="56" fillId="5" borderId="0" xfId="69" applyFont="1" applyFill="1" applyBorder="1" applyAlignment="1">
      <alignment horizontal="center" vertical="top"/>
    </xf>
    <xf numFmtId="0" fontId="7" fillId="5" borderId="0" xfId="69" applyFont="1" applyFill="1" applyBorder="1" applyAlignment="1" applyProtection="1">
      <alignment vertical="top"/>
      <protection hidden="1"/>
    </xf>
    <xf numFmtId="0" fontId="57" fillId="5" borderId="0" xfId="69" applyFont="1" applyFill="1" applyBorder="1" applyAlignment="1">
      <alignment horizontal="center" vertical="top"/>
    </xf>
    <xf numFmtId="0" fontId="58" fillId="5" borderId="0" xfId="69" applyFont="1" applyFill="1" applyBorder="1" applyAlignment="1">
      <alignment horizontal="center" vertical="top"/>
    </xf>
    <xf numFmtId="0" fontId="56" fillId="5" borderId="0" xfId="69" applyFont="1" applyFill="1" applyAlignment="1">
      <alignment horizontal="center" vertical="top"/>
    </xf>
    <xf numFmtId="0" fontId="57" fillId="5" borderId="0" xfId="69" applyFont="1" applyFill="1" applyAlignment="1">
      <alignment horizontal="center" vertical="top"/>
    </xf>
    <xf numFmtId="0" fontId="55" fillId="0" borderId="0" xfId="69" applyFont="1" applyBorder="1" applyAlignment="1" applyProtection="1">
      <alignment horizontal="center" vertical="top"/>
      <protection hidden="1"/>
    </xf>
  </cellXfs>
  <cellStyles count="78">
    <cellStyle name=",;F'KOIT[[WAAHK" xfId="12" xr:uid="{00000000-0005-0000-0000-000000000000}"/>
    <cellStyle name="20% - Accent1" xfId="13" xr:uid="{00000000-0005-0000-0000-000001000000}"/>
    <cellStyle name="20% - Accent2" xfId="14" xr:uid="{00000000-0005-0000-0000-000002000000}"/>
    <cellStyle name="20% - Accent3" xfId="15" xr:uid="{00000000-0005-0000-0000-000003000000}"/>
    <cellStyle name="20% - Accent4" xfId="16" xr:uid="{00000000-0005-0000-0000-000004000000}"/>
    <cellStyle name="20% - Accent5" xfId="17" xr:uid="{00000000-0005-0000-0000-000005000000}"/>
    <cellStyle name="20% - Accent6" xfId="18" xr:uid="{00000000-0005-0000-0000-000006000000}"/>
    <cellStyle name="40% - Accent1" xfId="19" xr:uid="{00000000-0005-0000-0000-000007000000}"/>
    <cellStyle name="40% - Accent2" xfId="20" xr:uid="{00000000-0005-0000-0000-000008000000}"/>
    <cellStyle name="40% - Accent3" xfId="21" xr:uid="{00000000-0005-0000-0000-000009000000}"/>
    <cellStyle name="40% - Accent4" xfId="22" xr:uid="{00000000-0005-0000-0000-00000A000000}"/>
    <cellStyle name="40% - Accent5" xfId="23" xr:uid="{00000000-0005-0000-0000-00000B000000}"/>
    <cellStyle name="40% - Accent6" xfId="24" xr:uid="{00000000-0005-0000-0000-00000C000000}"/>
    <cellStyle name="60% - Accent1" xfId="25" xr:uid="{00000000-0005-0000-0000-00000D000000}"/>
    <cellStyle name="60% - Accent2" xfId="26" xr:uid="{00000000-0005-0000-0000-00000E000000}"/>
    <cellStyle name="60% - Accent3" xfId="27" xr:uid="{00000000-0005-0000-0000-00000F000000}"/>
    <cellStyle name="60% - Accent4" xfId="28" xr:uid="{00000000-0005-0000-0000-000010000000}"/>
    <cellStyle name="60% - Accent5" xfId="29" xr:uid="{00000000-0005-0000-0000-000011000000}"/>
    <cellStyle name="60% - Accent6" xfId="30" xr:uid="{00000000-0005-0000-0000-000012000000}"/>
    <cellStyle name="Accent1" xfId="31" xr:uid="{00000000-0005-0000-0000-000013000000}"/>
    <cellStyle name="Accent2" xfId="32" xr:uid="{00000000-0005-0000-0000-000014000000}"/>
    <cellStyle name="Accent3" xfId="33" xr:uid="{00000000-0005-0000-0000-000015000000}"/>
    <cellStyle name="Accent4" xfId="34" xr:uid="{00000000-0005-0000-0000-000016000000}"/>
    <cellStyle name="Accent5" xfId="35" xr:uid="{00000000-0005-0000-0000-000017000000}"/>
    <cellStyle name="Accent6" xfId="36" xr:uid="{00000000-0005-0000-0000-000018000000}"/>
    <cellStyle name="Bad" xfId="37" xr:uid="{00000000-0005-0000-0000-000019000000}"/>
    <cellStyle name="Calculation" xfId="38" xr:uid="{00000000-0005-0000-0000-00001A000000}"/>
    <cellStyle name="Check Cell" xfId="39" xr:uid="{00000000-0005-0000-0000-00001B000000}"/>
    <cellStyle name="Comma 10" xfId="75" xr:uid="{00000000-0005-0000-0000-00001D000000}"/>
    <cellStyle name="Comma 2" xfId="4" xr:uid="{00000000-0005-0000-0000-00001E000000}"/>
    <cellStyle name="Comma 2 2" xfId="40" xr:uid="{00000000-0005-0000-0000-00001F000000}"/>
    <cellStyle name="Comma 2 4" xfId="74" xr:uid="{00000000-0005-0000-0000-000020000000}"/>
    <cellStyle name="Comma 3" xfId="41" xr:uid="{00000000-0005-0000-0000-000021000000}"/>
    <cellStyle name="Comma 3 2 2" xfId="76" xr:uid="{00000000-0005-0000-0000-000022000000}"/>
    <cellStyle name="Comma 4" xfId="11" xr:uid="{00000000-0005-0000-0000-000023000000}"/>
    <cellStyle name="Euro" xfId="42" xr:uid="{00000000-0005-0000-0000-000024000000}"/>
    <cellStyle name="Explanatory Text" xfId="43" xr:uid="{00000000-0005-0000-0000-000025000000}"/>
    <cellStyle name="Good" xfId="44" xr:uid="{00000000-0005-0000-0000-000026000000}"/>
    <cellStyle name="Heading 1" xfId="45" xr:uid="{00000000-0005-0000-0000-000027000000}"/>
    <cellStyle name="Heading 2" xfId="46" xr:uid="{00000000-0005-0000-0000-000028000000}"/>
    <cellStyle name="Heading 3" xfId="47" xr:uid="{00000000-0005-0000-0000-000029000000}"/>
    <cellStyle name="Heading 4" xfId="48" xr:uid="{00000000-0005-0000-0000-00002A000000}"/>
    <cellStyle name="Input" xfId="49" xr:uid="{00000000-0005-0000-0000-00002B000000}"/>
    <cellStyle name="Linked Cell" xfId="50" xr:uid="{00000000-0005-0000-0000-00002C000000}"/>
    <cellStyle name="Neutral" xfId="51" xr:uid="{00000000-0005-0000-0000-00002D000000}"/>
    <cellStyle name="Normal 13" xfId="52" xr:uid="{00000000-0005-0000-0000-00002F000000}"/>
    <cellStyle name="Normal 2" xfId="5" xr:uid="{00000000-0005-0000-0000-000030000000}"/>
    <cellStyle name="Note" xfId="53" xr:uid="{00000000-0005-0000-0000-000031000000}"/>
    <cellStyle name="Output" xfId="54" xr:uid="{00000000-0005-0000-0000-000032000000}"/>
    <cellStyle name="Title" xfId="55" xr:uid="{00000000-0005-0000-0000-000033000000}"/>
    <cellStyle name="Total" xfId="56" xr:uid="{00000000-0005-0000-0000-000034000000}"/>
    <cellStyle name="Warning Text" xfId="57" xr:uid="{00000000-0005-0000-0000-000035000000}"/>
    <cellStyle name="เครื่องหมายจุลภาค 2" xfId="58" xr:uid="{00000000-0005-0000-0000-000036000000}"/>
    <cellStyle name="เครื่องหมายจุลภาค 2 2" xfId="59" xr:uid="{00000000-0005-0000-0000-000037000000}"/>
    <cellStyle name="เครื่องหมายจุลภาค 2 3" xfId="8" xr:uid="{00000000-0005-0000-0000-000038000000}"/>
    <cellStyle name="เครื่องหมายจุลภาค 3" xfId="60" xr:uid="{00000000-0005-0000-0000-000039000000}"/>
    <cellStyle name="เครื่องหมายจุลภาค 4" xfId="61" xr:uid="{00000000-0005-0000-0000-00003A000000}"/>
    <cellStyle name="เครื่องหมายจุลภาค 5" xfId="9" xr:uid="{00000000-0005-0000-0000-00003B000000}"/>
    <cellStyle name="เครื่องหมายจุลภาค 6" xfId="62" xr:uid="{00000000-0005-0000-0000-00003C000000}"/>
    <cellStyle name="เครื่องหมายจุลภาค 7" xfId="63" xr:uid="{00000000-0005-0000-0000-00003D000000}"/>
    <cellStyle name="เครื่องหมายจุลภาค 8" xfId="3" xr:uid="{00000000-0005-0000-0000-00003E000000}"/>
    <cellStyle name="เครื่องหมายจุลภาค_ซ่อมแซมศาลากลาง,หอประชุม01" xfId="7" xr:uid="{00000000-0005-0000-0000-00003F000000}"/>
    <cellStyle name="เครื่องหมายจุลภาค_ราคาระบบระบายน้ำ" xfId="10" xr:uid="{00000000-0005-0000-0000-000040000000}"/>
    <cellStyle name="จุลภาค" xfId="1" builtinId="3"/>
    <cellStyle name="เชื่อมโยงหลายมิติ_10091" xfId="64" xr:uid="{00000000-0005-0000-0000-000041000000}"/>
    <cellStyle name="ตามการเชื่อมโยงหลายมิติ_10091" xfId="65" xr:uid="{00000000-0005-0000-0000-000042000000}"/>
    <cellStyle name="ปกติ" xfId="0" builtinId="0"/>
    <cellStyle name="ปกติ 2" xfId="6" xr:uid="{00000000-0005-0000-0000-000043000000}"/>
    <cellStyle name="ปกติ 2 2" xfId="66" xr:uid="{00000000-0005-0000-0000-000044000000}"/>
    <cellStyle name="ปกติ 2 3" xfId="67" xr:uid="{00000000-0005-0000-0000-000045000000}"/>
    <cellStyle name="ปกติ 3" xfId="68" xr:uid="{00000000-0005-0000-0000-000046000000}"/>
    <cellStyle name="ปกติ 3 2 2" xfId="69" xr:uid="{00000000-0005-0000-0000-000047000000}"/>
    <cellStyle name="ปกติ 4" xfId="70" xr:uid="{00000000-0005-0000-0000-000048000000}"/>
    <cellStyle name="ปกติ 5" xfId="71" xr:uid="{00000000-0005-0000-0000-000049000000}"/>
    <cellStyle name="ปกติ 6" xfId="2" xr:uid="{00000000-0005-0000-0000-00004A000000}"/>
    <cellStyle name="ปกติ 7" xfId="72" xr:uid="{00000000-0005-0000-0000-00004B000000}"/>
    <cellStyle name="ปกติ 8" xfId="77" xr:uid="{85554A2F-B9E7-4472-8AC3-0B6B206F1772}"/>
    <cellStyle name="เปอร์เซ็นต์ 2" xfId="73" xr:uid="{00000000-0005-0000-0000-00004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153866</xdr:colOff>
      <xdr:row>1</xdr:row>
      <xdr:rowOff>87923</xdr:rowOff>
    </xdr:from>
    <xdr:to>
      <xdr:col>1</xdr:col>
      <xdr:colOff>268166</xdr:colOff>
      <xdr:row>1</xdr:row>
      <xdr:rowOff>192698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Arrowheads="1"/>
        </xdr:cNvSpPr>
      </xdr:nvSpPr>
      <xdr:spPr bwMode="auto">
        <a:xfrm>
          <a:off x="849191" y="402248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153865</xdr:colOff>
      <xdr:row>2</xdr:row>
      <xdr:rowOff>73269</xdr:rowOff>
    </xdr:from>
    <xdr:to>
      <xdr:col>1</xdr:col>
      <xdr:colOff>268165</xdr:colOff>
      <xdr:row>2</xdr:row>
      <xdr:rowOff>178044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 noChangeArrowheads="1"/>
        </xdr:cNvSpPr>
      </xdr:nvSpPr>
      <xdr:spPr bwMode="auto">
        <a:xfrm>
          <a:off x="849190" y="6542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168519</xdr:colOff>
      <xdr:row>4</xdr:row>
      <xdr:rowOff>73269</xdr:rowOff>
    </xdr:from>
    <xdr:to>
      <xdr:col>1</xdr:col>
      <xdr:colOff>282819</xdr:colOff>
      <xdr:row>4</xdr:row>
      <xdr:rowOff>178044</xdr:rowOff>
    </xdr:to>
    <xdr:sp macro="" textlink="">
      <xdr:nvSpPr>
        <xdr:cNvPr id="4" name="Rectangle 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 noChangeArrowheads="1"/>
        </xdr:cNvSpPr>
      </xdr:nvSpPr>
      <xdr:spPr bwMode="auto">
        <a:xfrm>
          <a:off x="863844" y="14543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161193</xdr:colOff>
      <xdr:row>5</xdr:row>
      <xdr:rowOff>87923</xdr:rowOff>
    </xdr:from>
    <xdr:to>
      <xdr:col>1</xdr:col>
      <xdr:colOff>275493</xdr:colOff>
      <xdr:row>5</xdr:row>
      <xdr:rowOff>192698</xdr:rowOff>
    </xdr:to>
    <xdr:sp macro="" textlink="">
      <xdr:nvSpPr>
        <xdr:cNvPr id="5" name="Rectangle 1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 noChangeArrowheads="1"/>
        </xdr:cNvSpPr>
      </xdr:nvSpPr>
      <xdr:spPr bwMode="auto">
        <a:xfrm>
          <a:off x="856518" y="1735748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131885</xdr:colOff>
      <xdr:row>7</xdr:row>
      <xdr:rowOff>65942</xdr:rowOff>
    </xdr:from>
    <xdr:to>
      <xdr:col>1</xdr:col>
      <xdr:colOff>246185</xdr:colOff>
      <xdr:row>7</xdr:row>
      <xdr:rowOff>170717</xdr:rowOff>
    </xdr:to>
    <xdr:sp macro="" textlink="">
      <xdr:nvSpPr>
        <xdr:cNvPr id="6" name="Rectangle 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 noChangeArrowheads="1"/>
        </xdr:cNvSpPr>
      </xdr:nvSpPr>
      <xdr:spPr bwMode="auto">
        <a:xfrm>
          <a:off x="827210" y="2247167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153866</xdr:colOff>
      <xdr:row>6</xdr:row>
      <xdr:rowOff>73269</xdr:rowOff>
    </xdr:from>
    <xdr:to>
      <xdr:col>1</xdr:col>
      <xdr:colOff>268166</xdr:colOff>
      <xdr:row>6</xdr:row>
      <xdr:rowOff>178044</xdr:rowOff>
    </xdr:to>
    <xdr:sp macro="" textlink="">
      <xdr:nvSpPr>
        <xdr:cNvPr id="7" name="Rectangle 1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 noChangeArrowheads="1"/>
        </xdr:cNvSpPr>
      </xdr:nvSpPr>
      <xdr:spPr bwMode="auto">
        <a:xfrm>
          <a:off x="849191" y="19877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167054</xdr:colOff>
      <xdr:row>3</xdr:row>
      <xdr:rowOff>79130</xdr:rowOff>
    </xdr:from>
    <xdr:to>
      <xdr:col>1</xdr:col>
      <xdr:colOff>281354</xdr:colOff>
      <xdr:row>3</xdr:row>
      <xdr:rowOff>183905</xdr:rowOff>
    </xdr:to>
    <xdr:sp macro="" textlink="">
      <xdr:nvSpPr>
        <xdr:cNvPr id="10" name="Rectangle 1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 noChangeArrowheads="1"/>
        </xdr:cNvSpPr>
      </xdr:nvSpPr>
      <xdr:spPr bwMode="auto">
        <a:xfrm>
          <a:off x="862379" y="926855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153866</xdr:colOff>
      <xdr:row>1</xdr:row>
      <xdr:rowOff>87923</xdr:rowOff>
    </xdr:from>
    <xdr:to>
      <xdr:col>1</xdr:col>
      <xdr:colOff>268166</xdr:colOff>
      <xdr:row>1</xdr:row>
      <xdr:rowOff>192698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33C449B-2E56-4683-AED5-53F97D6CF568}"/>
            </a:ext>
          </a:extLst>
        </xdr:cNvPr>
        <xdr:cNvSpPr>
          <a:spLocks noChangeArrowheads="1"/>
        </xdr:cNvSpPr>
      </xdr:nvSpPr>
      <xdr:spPr bwMode="auto">
        <a:xfrm>
          <a:off x="849191" y="402248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153865</xdr:colOff>
      <xdr:row>3</xdr:row>
      <xdr:rowOff>73269</xdr:rowOff>
    </xdr:from>
    <xdr:to>
      <xdr:col>1</xdr:col>
      <xdr:colOff>268165</xdr:colOff>
      <xdr:row>3</xdr:row>
      <xdr:rowOff>178044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D32BE2AF-BDBB-47DC-8895-36EBE3544DE8}"/>
            </a:ext>
          </a:extLst>
        </xdr:cNvPr>
        <xdr:cNvSpPr>
          <a:spLocks noChangeArrowheads="1"/>
        </xdr:cNvSpPr>
      </xdr:nvSpPr>
      <xdr:spPr bwMode="auto">
        <a:xfrm>
          <a:off x="849190" y="9209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168519</xdr:colOff>
      <xdr:row>6</xdr:row>
      <xdr:rowOff>73269</xdr:rowOff>
    </xdr:from>
    <xdr:to>
      <xdr:col>1</xdr:col>
      <xdr:colOff>282819</xdr:colOff>
      <xdr:row>6</xdr:row>
      <xdr:rowOff>178044</xdr:rowOff>
    </xdr:to>
    <xdr:sp macro="" textlink="">
      <xdr:nvSpPr>
        <xdr:cNvPr id="4" name="Rectangle 1">
          <a:extLst>
            <a:ext uri="{FF2B5EF4-FFF2-40B4-BE49-F238E27FC236}">
              <a16:creationId xmlns:a16="http://schemas.microsoft.com/office/drawing/2014/main" id="{E718EA40-F2E4-4F62-B594-19EF2A0FCD1F}"/>
            </a:ext>
          </a:extLst>
        </xdr:cNvPr>
        <xdr:cNvSpPr>
          <a:spLocks noChangeArrowheads="1"/>
        </xdr:cNvSpPr>
      </xdr:nvSpPr>
      <xdr:spPr bwMode="auto">
        <a:xfrm>
          <a:off x="863844" y="17210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161193</xdr:colOff>
      <xdr:row>7</xdr:row>
      <xdr:rowOff>87923</xdr:rowOff>
    </xdr:from>
    <xdr:to>
      <xdr:col>1</xdr:col>
      <xdr:colOff>275493</xdr:colOff>
      <xdr:row>7</xdr:row>
      <xdr:rowOff>192698</xdr:rowOff>
    </xdr:to>
    <xdr:sp macro="" textlink="">
      <xdr:nvSpPr>
        <xdr:cNvPr id="5" name="Rectangle 1">
          <a:extLst>
            <a:ext uri="{FF2B5EF4-FFF2-40B4-BE49-F238E27FC236}">
              <a16:creationId xmlns:a16="http://schemas.microsoft.com/office/drawing/2014/main" id="{51F7BE40-B01E-4602-81D6-A68BD529C77E}"/>
            </a:ext>
          </a:extLst>
        </xdr:cNvPr>
        <xdr:cNvSpPr>
          <a:spLocks noChangeArrowheads="1"/>
        </xdr:cNvSpPr>
      </xdr:nvSpPr>
      <xdr:spPr bwMode="auto">
        <a:xfrm>
          <a:off x="856518" y="2002448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131885</xdr:colOff>
      <xdr:row>9</xdr:row>
      <xdr:rowOff>65942</xdr:rowOff>
    </xdr:from>
    <xdr:to>
      <xdr:col>1</xdr:col>
      <xdr:colOff>246185</xdr:colOff>
      <xdr:row>9</xdr:row>
      <xdr:rowOff>170717</xdr:rowOff>
    </xdr:to>
    <xdr:sp macro="" textlink="">
      <xdr:nvSpPr>
        <xdr:cNvPr id="6" name="Rectangle 1">
          <a:extLst>
            <a:ext uri="{FF2B5EF4-FFF2-40B4-BE49-F238E27FC236}">
              <a16:creationId xmlns:a16="http://schemas.microsoft.com/office/drawing/2014/main" id="{A63807EC-B0AD-4241-B074-536FA7FC6CB2}"/>
            </a:ext>
          </a:extLst>
        </xdr:cNvPr>
        <xdr:cNvSpPr>
          <a:spLocks noChangeArrowheads="1"/>
        </xdr:cNvSpPr>
      </xdr:nvSpPr>
      <xdr:spPr bwMode="auto">
        <a:xfrm>
          <a:off x="827210" y="2513867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153866</xdr:colOff>
      <xdr:row>8</xdr:row>
      <xdr:rowOff>73269</xdr:rowOff>
    </xdr:from>
    <xdr:to>
      <xdr:col>1</xdr:col>
      <xdr:colOff>268166</xdr:colOff>
      <xdr:row>8</xdr:row>
      <xdr:rowOff>178044</xdr:rowOff>
    </xdr:to>
    <xdr:sp macro="" textlink="">
      <xdr:nvSpPr>
        <xdr:cNvPr id="7" name="Rectangle 1">
          <a:extLst>
            <a:ext uri="{FF2B5EF4-FFF2-40B4-BE49-F238E27FC236}">
              <a16:creationId xmlns:a16="http://schemas.microsoft.com/office/drawing/2014/main" id="{EC55A01C-B69D-4FC9-964F-C432D47250A8}"/>
            </a:ext>
          </a:extLst>
        </xdr:cNvPr>
        <xdr:cNvSpPr>
          <a:spLocks noChangeArrowheads="1"/>
        </xdr:cNvSpPr>
      </xdr:nvSpPr>
      <xdr:spPr bwMode="auto">
        <a:xfrm>
          <a:off x="849191" y="22544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168519</xdr:colOff>
      <xdr:row>25</xdr:row>
      <xdr:rowOff>73269</xdr:rowOff>
    </xdr:from>
    <xdr:to>
      <xdr:col>1</xdr:col>
      <xdr:colOff>282819</xdr:colOff>
      <xdr:row>25</xdr:row>
      <xdr:rowOff>178044</xdr:rowOff>
    </xdr:to>
    <xdr:sp macro="" textlink="">
      <xdr:nvSpPr>
        <xdr:cNvPr id="8" name="Rectangle 1">
          <a:extLst>
            <a:ext uri="{FF2B5EF4-FFF2-40B4-BE49-F238E27FC236}">
              <a16:creationId xmlns:a16="http://schemas.microsoft.com/office/drawing/2014/main" id="{1593A3A1-C639-4F16-B5C7-775708B36EF7}"/>
            </a:ext>
          </a:extLst>
        </xdr:cNvPr>
        <xdr:cNvSpPr>
          <a:spLocks noChangeArrowheads="1"/>
        </xdr:cNvSpPr>
      </xdr:nvSpPr>
      <xdr:spPr bwMode="auto">
        <a:xfrm>
          <a:off x="863844" y="6788394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161193</xdr:colOff>
      <xdr:row>26</xdr:row>
      <xdr:rowOff>95250</xdr:rowOff>
    </xdr:from>
    <xdr:to>
      <xdr:col>1</xdr:col>
      <xdr:colOff>275493</xdr:colOff>
      <xdr:row>26</xdr:row>
      <xdr:rowOff>200025</xdr:rowOff>
    </xdr:to>
    <xdr:sp macro="" textlink="">
      <xdr:nvSpPr>
        <xdr:cNvPr id="9" name="Rectangle 1">
          <a:extLst>
            <a:ext uri="{FF2B5EF4-FFF2-40B4-BE49-F238E27FC236}">
              <a16:creationId xmlns:a16="http://schemas.microsoft.com/office/drawing/2014/main" id="{064F4DC5-632F-4E23-9764-181E5542D288}"/>
            </a:ext>
          </a:extLst>
        </xdr:cNvPr>
        <xdr:cNvSpPr>
          <a:spLocks noChangeArrowheads="1"/>
        </xdr:cNvSpPr>
      </xdr:nvSpPr>
      <xdr:spPr bwMode="auto">
        <a:xfrm>
          <a:off x="856518" y="7077075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  <xdr:twoCellAnchor>
    <xdr:from>
      <xdr:col>1</xdr:col>
      <xdr:colOff>167054</xdr:colOff>
      <xdr:row>4</xdr:row>
      <xdr:rowOff>79130</xdr:rowOff>
    </xdr:from>
    <xdr:to>
      <xdr:col>1</xdr:col>
      <xdr:colOff>281354</xdr:colOff>
      <xdr:row>4</xdr:row>
      <xdr:rowOff>183905</xdr:rowOff>
    </xdr:to>
    <xdr:sp macro="" textlink="">
      <xdr:nvSpPr>
        <xdr:cNvPr id="10" name="Rectangle 1">
          <a:extLst>
            <a:ext uri="{FF2B5EF4-FFF2-40B4-BE49-F238E27FC236}">
              <a16:creationId xmlns:a16="http://schemas.microsoft.com/office/drawing/2014/main" id="{DB34173F-6B5A-46B8-95FD-47F03519CF67}"/>
            </a:ext>
          </a:extLst>
        </xdr:cNvPr>
        <xdr:cNvSpPr>
          <a:spLocks noChangeArrowheads="1"/>
        </xdr:cNvSpPr>
      </xdr:nvSpPr>
      <xdr:spPr bwMode="auto">
        <a:xfrm>
          <a:off x="862379" y="1193555"/>
          <a:ext cx="114300" cy="104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/>
        <a:lstStyle/>
        <a:p>
          <a:endParaRPr lang="th-TH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591;&#3634;&#3609;%20&#3585;&#3623;&#3607;\&#3649;&#3585;&#3657;%20&#3611;&#3619;.52%209%20&#3626;&#3634;&#3618;\&#3588;&#3619;&#3633;&#3657;&#3591;&#3607;&#3637;&#3656;1\&#3611;&#3619;&#3632;&#3617;&#3634;&#3603;&#3619;&#3634;&#3588;&#3634;&#3621;&#3634;&#3604;&#3618;&#3634;&#3591;(&#3605;&#3657;&#3609;&#3649;&#3610;&#3610;)\0_1%20&#3585;&#3617;(&#3617;&#3637;box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4.&#3610;&#3619;&#3636;&#3585;&#3634;&#3619;&#3604;&#3657;&#3634;&#3609;&#3594;&#3656;&#3634;&#3591;\01.&#3591;&#3634;&#3609;&#3623;&#3636;&#3594;&#3634;&#3585;&#3634;&#3619;\GRAY\1.&#3610;&#3619;&#3636;&#3585;&#3634;&#3619;&#3592;&#3633;&#3591;&#3627;&#3623;&#3633;&#3604;\&#3626;&#3627;&#3585;&#3619;&#3603;&#3660;&#3592;&#3633;&#3591;&#3627;&#3623;&#3633;&#3604;\&#3609;&#3636;&#3588;&#3617;&#3626;&#3627;&#3585;&#3619;&#3603;&#3660;&#3614;&#3609;&#3634;\&#3619;&#3634;&#3588;&#3634;&#3649;&#3621;&#3632;&#3619;&#3634;&#3618;&#3585;&#3634;&#3619;&#3648;&#3604;&#3636;&#3617;\&#3611;&#3619;&#3636;&#3617;&#3634;&#3603;&#3591;&#3634;&#3609;&#3606;&#3609;&#3609;%20%20&#3588;&#3626;&#3621;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-79fb128a5f5\d\&#3594;&#3633;&#3618;&#3609;&#3634;&#3607;\&#3627;&#3657;&#3634;&#3617;&#3648;&#3586;&#3657;&#3634;\&#3648;&#3629;&#3585;&#3626;&#3634;&#3619;&#3611;&#3619;&#3632;&#3617;&#3634;&#3603;&#3619;&#3634;&#3588;&#3634;\&#3611;&#3619;&#3632;&#3617;&#3634;&#3603;&#3619;&#3634;&#3588;&#3634;&#3611;&#3637;%2049(&#3649;&#3585;&#3657;&#3652;&#3586;&#3621;&#3657;&#3634;&#3626;&#3640;&#3604;)\&#3611;&#3619;&#3632;&#3617;&#3634;&#3603;&#3619;&#3634;&#3588;&#3634;%2049\&#3611;&#3619;&#3632;&#3617;&#3634;&#3603;&#3585;&#3634;&#3619;%2049%20(3004)4.350.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ra\f\My%20Documents\ROAD254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606;&#3609;&#3609;&#3621;&#3634;&#3604;&#3618;&#3634;&#3591;&#3609;&#3657;&#3635;&#3617;&#3633;&#3609;%2015-26%20&#3610;&#3634;&#3607;(&#3626;&#3634;&#3618;%20&#3629;&#3592;.3018)4.500(&#3649;&#3585;&#3657;&#3652;&#3586;&#3612;&#3636;&#3623;AC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ra\f\manop2000\PWDUBN2000\Pwd41\EST\ROAD\Rd43\CS_ROAD.XL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ข้อมูลโครงการ"/>
      <sheetName val="DATA1"/>
      <sheetName val="DATA2"/>
      <sheetName val="DATA3"/>
      <sheetName val="DATA4"/>
      <sheetName val="DATA5"/>
      <sheetName val="DATA6"/>
      <sheetName val="DATAbox1"/>
      <sheetName val="DATAbox2"/>
      <sheetName val="DATABRD1"/>
      <sheetName val="เสาเข็มBRD1"/>
      <sheetName val="ตอม่อBRD1"/>
      <sheetName val="พื้นBRD1"/>
      <sheetName val="ราวริมBRD1"/>
      <sheetName val="ราวกลางBRD1"/>
      <sheetName val="ราวBRD1"/>
      <sheetName val="APBRD1"/>
      <sheetName val="CSPBRD1"/>
      <sheetName val="ปริมาณbox1"/>
      <sheetName val="ปริมาณbox2"/>
      <sheetName val="ข้อมูลน้ำมัน"/>
      <sheetName val="กำแพงปากท่อ"/>
      <sheetName val="ตารางแหล่งวัสดุ"/>
      <sheetName val="การเชื่อมโยงค่าระยะทาง"/>
      <sheetName val="ปก"/>
      <sheetName val="ปร.5"/>
      <sheetName val="ปร.4"/>
      <sheetName val="ค่างานต้นทุน"/>
      <sheetName val="ใบสนอราคา"/>
      <sheetName val="บันทึกต่อรอง"/>
      <sheetName val="ตารางการแบ่งงวดงาน"/>
      <sheetName val="สรุปการแบ่งงวด"/>
      <sheetName val="รายละเอียดงวดงาน"/>
      <sheetName val="รายละเยดงวดในประกาศ"/>
      <sheetName val="สรุปค่าขนส่ง"/>
      <sheetName val="ข้อมูลpop_up"/>
      <sheetName val="ขน10_12.50"/>
      <sheetName val="ขน10พ่วง_12.50"/>
      <sheetName val="ขน10_13.50"/>
      <sheetName val="ขน10พ่วง_13.50"/>
      <sheetName val="ขน10_14.50"/>
      <sheetName val="ขน10พ่วง_14.50"/>
      <sheetName val="ขน10_15.50"/>
      <sheetName val="ขน10พ่วง_15.50"/>
      <sheetName val="ขน10"/>
      <sheetName val="ขน10พ่วง"/>
      <sheetName val="ค่าเสื่อมราคา"/>
      <sheetName val="Factor_Fงานทาง"/>
      <sheetName val="Factor_Fงานสะพา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5">
          <cell r="H5">
            <v>1.87</v>
          </cell>
        </row>
        <row r="7">
          <cell r="H7">
            <v>5.72</v>
          </cell>
        </row>
        <row r="11">
          <cell r="H11">
            <v>35.17</v>
          </cell>
        </row>
        <row r="18">
          <cell r="H18">
            <v>26.48</v>
          </cell>
        </row>
        <row r="39">
          <cell r="H39">
            <v>60.37</v>
          </cell>
        </row>
        <row r="42">
          <cell r="H42">
            <v>22.99</v>
          </cell>
        </row>
        <row r="50">
          <cell r="H50">
            <v>92.1</v>
          </cell>
        </row>
        <row r="60">
          <cell r="H60">
            <v>157.25</v>
          </cell>
        </row>
        <row r="69">
          <cell r="H69">
            <v>429.67</v>
          </cell>
        </row>
        <row r="89">
          <cell r="H89">
            <v>14.05</v>
          </cell>
        </row>
        <row r="106">
          <cell r="H106">
            <v>49.223283760895754</v>
          </cell>
        </row>
        <row r="134">
          <cell r="H134">
            <v>450</v>
          </cell>
        </row>
        <row r="143">
          <cell r="H143">
            <v>860</v>
          </cell>
        </row>
        <row r="151">
          <cell r="H151">
            <v>1250</v>
          </cell>
        </row>
        <row r="159">
          <cell r="H159">
            <v>1880</v>
          </cell>
        </row>
        <row r="167">
          <cell r="H167">
            <v>2400</v>
          </cell>
        </row>
        <row r="175">
          <cell r="H175">
            <v>12</v>
          </cell>
        </row>
        <row r="286">
          <cell r="H286">
            <v>1490</v>
          </cell>
        </row>
        <row r="291">
          <cell r="H291">
            <v>1170</v>
          </cell>
        </row>
        <row r="296">
          <cell r="H296">
            <v>1240</v>
          </cell>
        </row>
        <row r="301">
          <cell r="H301">
            <v>1340</v>
          </cell>
        </row>
        <row r="306">
          <cell r="H306">
            <v>1330</v>
          </cell>
        </row>
        <row r="311">
          <cell r="H311">
            <v>1460</v>
          </cell>
        </row>
        <row r="316">
          <cell r="H316">
            <v>1400</v>
          </cell>
        </row>
        <row r="321">
          <cell r="H321">
            <v>1810</v>
          </cell>
        </row>
        <row r="326">
          <cell r="H326">
            <v>1680</v>
          </cell>
        </row>
        <row r="331">
          <cell r="H331">
            <v>1310</v>
          </cell>
        </row>
        <row r="336">
          <cell r="H336">
            <v>1500</v>
          </cell>
        </row>
        <row r="341">
          <cell r="H341">
            <v>1500</v>
          </cell>
        </row>
        <row r="346">
          <cell r="H346">
            <v>2120</v>
          </cell>
        </row>
        <row r="351">
          <cell r="H351">
            <v>1810</v>
          </cell>
        </row>
        <row r="356">
          <cell r="H356">
            <v>2140</v>
          </cell>
        </row>
        <row r="361">
          <cell r="H361">
            <v>1360</v>
          </cell>
        </row>
        <row r="366">
          <cell r="H366">
            <v>5080</v>
          </cell>
        </row>
        <row r="371">
          <cell r="H371">
            <v>8040</v>
          </cell>
        </row>
        <row r="376">
          <cell r="H376">
            <v>11000</v>
          </cell>
        </row>
        <row r="381">
          <cell r="H381">
            <v>1500</v>
          </cell>
        </row>
        <row r="386">
          <cell r="H386">
            <v>1870</v>
          </cell>
        </row>
        <row r="391">
          <cell r="H391">
            <v>3070</v>
          </cell>
        </row>
        <row r="402">
          <cell r="H402">
            <v>1340</v>
          </cell>
        </row>
        <row r="415">
          <cell r="H415">
            <v>1176</v>
          </cell>
        </row>
        <row r="429">
          <cell r="H429">
            <v>1344</v>
          </cell>
        </row>
        <row r="443">
          <cell r="H443">
            <v>1479</v>
          </cell>
        </row>
        <row r="457">
          <cell r="H457">
            <v>1521</v>
          </cell>
        </row>
        <row r="462">
          <cell r="H462">
            <v>1880</v>
          </cell>
        </row>
        <row r="464">
          <cell r="H464">
            <v>1000</v>
          </cell>
        </row>
        <row r="474">
          <cell r="H474">
            <v>760</v>
          </cell>
        </row>
        <row r="482">
          <cell r="H482">
            <v>430</v>
          </cell>
        </row>
        <row r="490">
          <cell r="H490">
            <v>1080</v>
          </cell>
        </row>
        <row r="511">
          <cell r="H511">
            <v>4950</v>
          </cell>
        </row>
        <row r="518">
          <cell r="H518">
            <v>7190</v>
          </cell>
        </row>
        <row r="525">
          <cell r="H525">
            <v>9370</v>
          </cell>
        </row>
        <row r="532">
          <cell r="H532">
            <v>6300</v>
          </cell>
        </row>
        <row r="539">
          <cell r="H539">
            <v>9650</v>
          </cell>
        </row>
        <row r="546">
          <cell r="H546">
            <v>12940</v>
          </cell>
        </row>
        <row r="553">
          <cell r="H553">
            <v>7180</v>
          </cell>
        </row>
        <row r="560">
          <cell r="H560">
            <v>11460</v>
          </cell>
        </row>
        <row r="567">
          <cell r="H567">
            <v>15740</v>
          </cell>
        </row>
        <row r="574">
          <cell r="H574">
            <v>8080</v>
          </cell>
        </row>
        <row r="581">
          <cell r="H581">
            <v>13340</v>
          </cell>
        </row>
        <row r="588">
          <cell r="H588">
            <v>18680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ร.5"/>
      <sheetName val="ซ่อมถนน คสล."/>
      <sheetName val="Sheet1"/>
      <sheetName val="Sheet1 (2)"/>
      <sheetName val="รายการประมาณราคาต่อหน่วย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พท.คิดหน้าตัด"/>
      <sheetName val="งวดงานปรับเอง"/>
      <sheetName val="logo"/>
      <sheetName val="data"/>
      <sheetName val="data1"/>
      <sheetName val="ปก"/>
      <sheetName val="ปร.5"/>
      <sheetName val="ปร.4"/>
      <sheetName val="ข้อมูลประกอบการประมาณราคา"/>
      <sheetName val="คิดค่าขนส่ง"/>
      <sheetName val="ค่างานต้นทุน"/>
      <sheetName val="ค่าเสื่อมราคา"/>
      <sheetName val="หน้าตัด+Factor F"/>
      <sheetName val="Quanlity"/>
      <sheetName val="soil"/>
      <sheetName val="Widening"/>
      <sheetName val="jump"/>
      <sheetName val="rcbox"/>
      <sheetName val="tf1"/>
      <sheetName val="ใบเสนอราคา"/>
      <sheetName val="installmate"/>
      <sheetName val="คสล."/>
      <sheetName val="inฯ-1"/>
      <sheetName val="ปร.5ใส่ค่าเอง"/>
      <sheetName val="Dialog1"/>
      <sheetName val="ค่าขนส่ง"/>
      <sheetName val="ค่าขนส่งด้วยรถพ่วง"/>
      <sheetName val="ค่าขนส่งด้วยหกล้อ"/>
      <sheetName val="ROAD_F_factor"/>
      <sheetName val="soil2"/>
      <sheetName val="data2"/>
      <sheetName val="box1"/>
      <sheetName val="box2"/>
      <sheetName val="box3"/>
      <sheetName val="brg1"/>
      <sheetName val="ปรับลด"/>
      <sheetName val="ใบเสนอราคาระยะทางขนส่งวัสดุ"/>
      <sheetName val="หักลดเงินค่าขนส่ง"/>
      <sheetName val="Module1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6">
          <cell r="K106">
            <v>12359221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OAD2541"/>
      <sheetName val="bq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เมนู"/>
      <sheetName val="ข้อมูลโครงการ"/>
      <sheetName val="ปกทช"/>
      <sheetName val="ปร.5ทช"/>
      <sheetName val="พท.คิดหน้าตัด"/>
      <sheetName val="ปร.4"/>
      <sheetName val="ข้อมูลประกอบการประมาณราคา"/>
      <sheetName val="รายการประมาณราคาต่อหน่วย"/>
      <sheetName val="ข้อมูลโครงสร้างทาง"/>
      <sheetName val="เลือกชนิดวัสดุมวลรวม"/>
      <sheetName val="เลือกวิธีหาราคาต้นทุน CS"/>
      <sheetName val="ตัวแปรค่าดำเนินการปูลาดAC"/>
      <sheetName val="ปร.4 สะพาน"/>
      <sheetName val="ปร.4 box"/>
      <sheetName val="ตัวแปรสภาพผิวทาง"/>
      <sheetName val="ค่าขนส่ง"/>
      <sheetName val="ค่าขนส่งปูนเมนต์"/>
      <sheetName val="ค่าขนส่งทราย"/>
      <sheetName val="ค่าขนส่งหิน"/>
      <sheetName val="ค่าขนส่งกรวดโม่"/>
      <sheetName val="ค่าขนส่งยาง"/>
      <sheetName val="ค่าขนส่งหินผสมAC"/>
      <sheetName val="ค่าขนส่งHM"/>
      <sheetName val="ค่าขนส่งเครืองจักร 80"/>
      <sheetName val="ค่าขนส่งacในสายทาง"/>
      <sheetName val="ค่าขนส่งเหล็ก"/>
      <sheetName val="ค่าขนส่งเหล็กรูปพรรณ"/>
      <sheetName val="ค่าขนส่งไม้แบบ"/>
      <sheetName val="ค่าขนส่งดินถม"/>
      <sheetName val="ค่าขนส่งลูกรังและวัสดุคัดเลือก"/>
      <sheetName val="ค่าขนส่งดินทิ้ง"/>
      <sheetName val="ค่าขนส่งไม้โครงสร้าง"/>
      <sheetName val="ค่าขนส่งท่อลอดกลม คสล."/>
      <sheetName val="กรอกข้อมูลประเมินราคาชุดที่2"/>
      <sheetName val="ประเภทงาน"/>
      <sheetName val="ถางป่าขุดตอขนาดเบา"/>
      <sheetName val="ถางป่าขุดตอขนาดกลาง"/>
      <sheetName val="ถางป่าขุดตอขนาดหนัก"/>
      <sheetName val="ดินคันทางขุดขน"/>
      <sheetName val="ดินคันทางบดทับ"/>
      <sheetName val="ดินขุดตัด"/>
      <sheetName val="ดินตัก"/>
      <sheetName val="หินผุขัดตัด"/>
      <sheetName val="หินผุดันตัก"/>
      <sheetName val="หินแข็งเจาะระเบิด"/>
      <sheetName val="หินแข็งดันตัก"/>
      <sheetName val="รองพื้นทางขุดขน"/>
      <sheetName val="รองพื้นทางผสมกับวัสดุอื่น"/>
      <sheetName val="รองพื้นทางบดทับ"/>
      <sheetName val="ไหล่ทางลูกรังผสมกับวัสดุอื่น"/>
      <sheetName val="ไหล่ทางลูกรังบดทับ"/>
      <sheetName val="พื้นทางผสมกับวัสดุอื่น"/>
      <sheetName val="พื้นทางบดทับ"/>
      <sheetName val="ตัดแต่งขั้นบันได"/>
      <sheetName val="ขุดรื้อลูกรัง10"/>
      <sheetName val="ขุดรื้อหินคลุก10"/>
      <sheetName val="ขุดรื้อผิวAC5"/>
      <sheetName val="ลาดยางPrimecoat"/>
      <sheetName val="ลาดยางTackcoat"/>
      <sheetName val="ชั้นเดียว(0.5)"/>
      <sheetName val="ชั้นเดียว(0.75)"/>
      <sheetName val="สองชั้น(0.75-0.375)"/>
      <sheetName val="สองชั้น(1-0.5)"/>
      <sheetName val="ชั้นเดียวเคลือบ(0.5)"/>
      <sheetName val="ชั้นเดียวเคลือบ(0.75)"/>
      <sheetName val="สองชั้นเคลือบ(0.75-0.375)"/>
      <sheetName val="สองชั้นเคลือบ(1-0.5)"/>
      <sheetName val="ค่าผสมAC"/>
      <sheetName val="ค่าปูผิวACบนPC"/>
      <sheetName val="ค่าปูผิวACบนTC"/>
      <sheetName val="ค่าผสมconc"/>
      <sheetName val="ค่าขนส่งconc"/>
      <sheetName val="ค่าแบบข้าง2ข้าง"/>
      <sheetName val="ค่าปูผิวconc"/>
      <sheetName val="ค่าตัดรอยต่อและหยอดยาง"/>
      <sheetName val="ค่าหยอดยางรอยต่อ"/>
      <sheetName val="ค่าบ่มผิวconc"/>
      <sheetName val="ค่าผสมวัสดุลูกรัง"/>
      <sheetName val="ค่าบ่มวัสดุลูกรัง"/>
      <sheetName val="ค่าผสมวัสดุหินคลุก"/>
      <sheetName val="ค่าบ่มวัสดุหินคลุก"/>
      <sheetName val="ค่าpipr15"/>
      <sheetName val="ค่าpipr20"/>
      <sheetName val="ค่าpipr25"/>
      <sheetName val="Slurry"/>
      <sheetName val="fogspray"/>
      <sheetName val="Sheet6"/>
      <sheetName val="ค่าดำเนินการและค่าเสื่อม"/>
      <sheetName val="สรุปค่าดำเนินการและค่าเสื่อม"/>
      <sheetName val="ปร.4สะพานคสล."/>
      <sheetName val="ปร.5สะพานคสล."/>
      <sheetName val="บัญชีแสดงปริมาณวัสดุชุดที่ 1"/>
      <sheetName val="บัญชีแสดงปริมาณวัสดุชุดที่ 2"/>
      <sheetName val="บัญชีแสดงปริมาณวัสดุชุดที่ 2.2"/>
      <sheetName val="สรุปBOX"/>
      <sheetName val="สรุปตารางกำแพงbox"/>
      <sheetName val="สรุปตารางถอดแบบbox"/>
      <sheetName val="ตารางกำแพงปากท่อลอดเหลี่ยม"/>
      <sheetName val="บันทึกประเมิน"/>
      <sheetName val="กรอกข้อมูลประเมินราคาชุดที1"/>
      <sheetName val="การแบ่งงวดงานCS"/>
      <sheetName val="รายละเอียดงวดงานที่แนบตามประกาศ"/>
      <sheetName val="รายละเอียดงวดงานใช้แนบสัญญาจ้าง"/>
      <sheetName val="SLOPE PROTECT"/>
      <sheetName val="ตารางถอดแบบสะพาน"/>
      <sheetName val="ตารางถอดแบบbox"/>
      <sheetName val="ตารางถอดแบบกำแพงปากท่อ"/>
      <sheetName val="สรุปถอดแบบสะพาน"/>
      <sheetName val="FACTORFงานทาง"/>
      <sheetName val="FACTORFชุก1งานทาง"/>
      <sheetName val="FACTORFชุก2งานทาง"/>
      <sheetName val="สรุปFACTORFงานทาง"/>
      <sheetName val="FACTORFงานสะพาน"/>
      <sheetName val="DATA1_1"/>
      <sheetName val="DATA1_2"/>
      <sheetName val="DATA1_3"/>
      <sheetName val="DATA1_4"/>
      <sheetName val="DATA1_5"/>
      <sheetName val="DATA1_6"/>
      <sheetName val="DATA1_7"/>
      <sheetName val="DATA1_8"/>
      <sheetName val="DATA2"/>
      <sheetName val="DATA6"/>
      <sheetName val="DATA3"/>
      <sheetName val="DATA4"/>
      <sheetName val="DATA5"/>
    </sheetNames>
    <sheetDataSet>
      <sheetData sheetId="0" refreshError="1"/>
      <sheetData sheetId="1">
        <row r="37">
          <cell r="Q37">
            <v>2500</v>
          </cell>
        </row>
        <row r="40">
          <cell r="Q40">
            <v>15</v>
          </cell>
        </row>
        <row r="53">
          <cell r="Q53">
            <v>29.38</v>
          </cell>
        </row>
      </sheetData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ร.5 ใส่ค่าเอง"/>
      <sheetName val="ปร.5"/>
      <sheetName val="ปร.4"/>
      <sheetName val="ข้อมูลขนส่ง"/>
      <sheetName val="ข้อมูลราคาวัสดุ"/>
      <sheetName val="ค่างานต้นทุน"/>
      <sheetName val="ค่าเสื่อมราคา"/>
      <sheetName val="ค่าขนส่ง"/>
      <sheetName val="ค่าขนส่งด้วยรถพ่วง"/>
      <sheetName val="ค่าขนส่งด้วยหกล้อ"/>
      <sheetName val="ROAD_F_factor"/>
      <sheetName val="คิดค่ากำแพงปากท่อ"/>
      <sheetName val="select"/>
      <sheetName val="หักลดเงินค่าขนส่ง"/>
      <sheetName val="Module3"/>
    </sheetNames>
    <sheetDataSet>
      <sheetData sheetId="0"/>
      <sheetData sheetId="1"/>
      <sheetData sheetId="2"/>
      <sheetData sheetId="3">
        <row r="4">
          <cell r="L4">
            <v>2</v>
          </cell>
          <cell r="N4">
            <v>7.14</v>
          </cell>
          <cell r="P4">
            <v>4</v>
          </cell>
          <cell r="R4">
            <v>9.7200000000000006</v>
          </cell>
          <cell r="T4">
            <v>60</v>
          </cell>
          <cell r="V4">
            <v>66.08</v>
          </cell>
          <cell r="X4">
            <v>45</v>
          </cell>
          <cell r="Z4">
            <v>81.37</v>
          </cell>
        </row>
        <row r="8">
          <cell r="P8">
            <v>10</v>
          </cell>
          <cell r="R8">
            <v>18.79</v>
          </cell>
          <cell r="T8">
            <v>410</v>
          </cell>
          <cell r="V8">
            <v>422.45</v>
          </cell>
          <cell r="X8">
            <v>50</v>
          </cell>
          <cell r="Z8">
            <v>55.14</v>
          </cell>
        </row>
        <row r="12">
          <cell r="P12">
            <v>15</v>
          </cell>
          <cell r="R12">
            <v>16.86</v>
          </cell>
          <cell r="T12">
            <v>30</v>
          </cell>
          <cell r="V12">
            <v>80.64</v>
          </cell>
        </row>
        <row r="16">
          <cell r="T16">
            <v>30</v>
          </cell>
          <cell r="V16">
            <v>54.55</v>
          </cell>
        </row>
        <row r="20">
          <cell r="T20">
            <v>50</v>
          </cell>
          <cell r="V20">
            <v>64.510000000000005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B1:AJ141"/>
  <sheetViews>
    <sheetView tabSelected="1" view="pageBreakPreview" zoomScale="80" zoomScaleNormal="100" zoomScaleSheetLayoutView="80" workbookViewId="0">
      <selection activeCell="G18" sqref="G18"/>
    </sheetView>
  </sheetViews>
  <sheetFormatPr defaultRowHeight="21"/>
  <cols>
    <col min="1" max="1" width="9.140625" style="227"/>
    <col min="2" max="2" width="7.5703125" style="227" customWidth="1"/>
    <col min="3" max="3" width="62" style="227" customWidth="1"/>
    <col min="4" max="4" width="9" style="243" customWidth="1"/>
    <col min="5" max="5" width="9.140625" style="245"/>
    <col min="6" max="6" width="12.85546875" style="227" customWidth="1"/>
    <col min="7" max="7" width="14.28515625" style="227" customWidth="1"/>
    <col min="8" max="8" width="13.5703125" style="227" customWidth="1"/>
    <col min="9" max="9" width="11.42578125" style="227" customWidth="1"/>
    <col min="10" max="10" width="15.42578125" style="227" customWidth="1"/>
    <col min="11" max="14" width="11.5703125" style="227" customWidth="1"/>
    <col min="15" max="15" width="11.140625" style="227" customWidth="1"/>
    <col min="16" max="16" width="36.85546875" style="227" customWidth="1"/>
    <col min="17" max="17" width="25.42578125" style="227" customWidth="1"/>
    <col min="18" max="18" width="24.5703125" style="227" customWidth="1"/>
    <col min="19" max="19" width="23.28515625" style="227" customWidth="1"/>
    <col min="20" max="21" width="17.85546875" style="227" customWidth="1"/>
    <col min="22" max="22" width="29" style="227" customWidth="1"/>
    <col min="23" max="23" width="17.85546875" style="227" customWidth="1"/>
    <col min="24" max="24" width="11.7109375" style="227" customWidth="1"/>
    <col min="25" max="25" width="9.140625" style="227"/>
    <col min="26" max="26" width="46.28515625" style="227" customWidth="1"/>
    <col min="27" max="28" width="9.140625" style="227"/>
    <col min="29" max="29" width="12" style="227" customWidth="1"/>
    <col min="30" max="30" width="11.42578125" style="227" customWidth="1"/>
    <col min="31" max="31" width="9.140625" style="227"/>
    <col min="32" max="32" width="11.140625" style="227" customWidth="1"/>
    <col min="33" max="33" width="11.85546875" style="227" customWidth="1"/>
    <col min="34" max="16384" width="9.140625" style="227"/>
  </cols>
  <sheetData>
    <row r="1" spans="2:36" s="1" customFormat="1" ht="23.25" customHeight="1">
      <c r="B1" s="694" t="s">
        <v>154</v>
      </c>
      <c r="C1" s="694"/>
      <c r="D1" s="694"/>
      <c r="E1" s="694"/>
      <c r="F1" s="694"/>
      <c r="G1" s="694"/>
      <c r="H1" s="694"/>
      <c r="I1" s="694"/>
      <c r="J1" s="694"/>
      <c r="K1" s="420" t="s">
        <v>155</v>
      </c>
      <c r="L1" s="421"/>
      <c r="M1" s="421"/>
      <c r="N1" s="421"/>
      <c r="O1" s="421"/>
    </row>
    <row r="2" spans="2:36" s="423" customFormat="1" ht="21.95" customHeight="1">
      <c r="B2" s="422" t="s">
        <v>182</v>
      </c>
      <c r="E2" s="424"/>
      <c r="K2" s="425"/>
    </row>
    <row r="3" spans="2:36" s="427" customFormat="1" ht="21.95" customHeight="1">
      <c r="B3" s="426" t="s">
        <v>180</v>
      </c>
      <c r="D3" s="428"/>
      <c r="E3" s="428"/>
    </row>
    <row r="4" spans="2:36" s="426" customFormat="1" ht="21.95" customHeight="1">
      <c r="B4" s="429" t="s">
        <v>181</v>
      </c>
      <c r="D4" s="430"/>
      <c r="E4" s="430"/>
      <c r="H4" s="427" t="s">
        <v>195</v>
      </c>
    </row>
    <row r="5" spans="2:36" s="434" customFormat="1" ht="21.95" customHeight="1" thickBot="1">
      <c r="B5" s="431" t="s">
        <v>222</v>
      </c>
      <c r="C5" s="432"/>
      <c r="D5" s="431"/>
      <c r="E5" s="431"/>
      <c r="F5" s="431"/>
      <c r="G5" s="431"/>
      <c r="H5" s="431" t="s">
        <v>223</v>
      </c>
      <c r="I5" s="431"/>
      <c r="J5" s="431"/>
      <c r="K5" s="431"/>
      <c r="L5" s="433"/>
      <c r="M5" s="433"/>
      <c r="N5" s="433"/>
      <c r="P5" s="431" t="s">
        <v>0</v>
      </c>
    </row>
    <row r="6" spans="2:36" s="13" customFormat="1" ht="21.95" customHeight="1" thickTop="1">
      <c r="B6" s="698" t="s">
        <v>1</v>
      </c>
      <c r="C6" s="700" t="s">
        <v>2</v>
      </c>
      <c r="D6" s="701" t="s">
        <v>3</v>
      </c>
      <c r="E6" s="698" t="s">
        <v>4</v>
      </c>
      <c r="F6" s="703" t="s">
        <v>5</v>
      </c>
      <c r="G6" s="704"/>
      <c r="H6" s="703" t="s">
        <v>6</v>
      </c>
      <c r="I6" s="704"/>
      <c r="J6" s="435" t="s">
        <v>7</v>
      </c>
      <c r="K6" s="698" t="s">
        <v>8</v>
      </c>
      <c r="L6" s="436"/>
      <c r="M6" s="436"/>
      <c r="N6" s="436"/>
    </row>
    <row r="7" spans="2:36" s="17" customFormat="1" ht="21.95" customHeight="1">
      <c r="B7" s="699"/>
      <c r="C7" s="699"/>
      <c r="D7" s="702"/>
      <c r="E7" s="699"/>
      <c r="F7" s="437" t="s">
        <v>9</v>
      </c>
      <c r="G7" s="438" t="s">
        <v>10</v>
      </c>
      <c r="H7" s="437" t="s">
        <v>9</v>
      </c>
      <c r="I7" s="438" t="s">
        <v>10</v>
      </c>
      <c r="J7" s="439" t="s">
        <v>11</v>
      </c>
      <c r="K7" s="699"/>
      <c r="L7" s="440"/>
      <c r="M7" s="440"/>
      <c r="N7" s="440"/>
    </row>
    <row r="8" spans="2:36" s="17" customFormat="1" ht="21.95" customHeight="1">
      <c r="B8" s="441"/>
      <c r="C8" s="442" t="s">
        <v>12</v>
      </c>
      <c r="D8" s="443"/>
      <c r="E8" s="441"/>
      <c r="F8" s="444"/>
      <c r="G8" s="445"/>
      <c r="H8" s="444"/>
      <c r="I8" s="445"/>
      <c r="J8" s="446"/>
      <c r="K8" s="441"/>
      <c r="L8" s="440"/>
      <c r="M8" s="440"/>
      <c r="N8" s="440"/>
    </row>
    <row r="9" spans="2:36" s="21" customFormat="1" ht="20.45" customHeight="1">
      <c r="B9" s="447">
        <v>1</v>
      </c>
      <c r="C9" s="448" t="s">
        <v>189</v>
      </c>
      <c r="D9" s="449"/>
      <c r="E9" s="450"/>
      <c r="F9" s="451"/>
      <c r="G9" s="447"/>
      <c r="H9" s="447"/>
      <c r="I9" s="447"/>
      <c r="J9" s="447"/>
      <c r="K9" s="450"/>
      <c r="L9" s="452"/>
      <c r="M9" s="452"/>
      <c r="N9" s="452"/>
      <c r="P9" s="453"/>
      <c r="Q9" s="453"/>
      <c r="R9" s="453"/>
    </row>
    <row r="10" spans="2:36" s="17" customFormat="1" ht="21.75" customHeight="1">
      <c r="B10" s="454"/>
      <c r="C10" s="455" t="s">
        <v>163</v>
      </c>
      <c r="D10" s="456">
        <v>1</v>
      </c>
      <c r="E10" s="457" t="s">
        <v>7</v>
      </c>
      <c r="F10" s="458"/>
      <c r="G10" s="458"/>
      <c r="H10" s="458"/>
      <c r="I10" s="459"/>
      <c r="J10" s="459">
        <f>J24</f>
        <v>331832.69130000001</v>
      </c>
      <c r="K10" s="460"/>
      <c r="L10" s="461"/>
      <c r="M10" s="461"/>
      <c r="N10" s="461"/>
      <c r="O10" s="462"/>
      <c r="P10" s="463"/>
      <c r="Q10" s="464"/>
      <c r="R10" s="465"/>
      <c r="S10" s="462"/>
      <c r="T10" s="42"/>
      <c r="U10" s="42"/>
      <c r="V10" s="42"/>
      <c r="W10" s="43"/>
      <c r="X10" s="43"/>
    </row>
    <row r="11" spans="2:36" s="49" customFormat="1" ht="21.95" customHeight="1">
      <c r="B11" s="454"/>
      <c r="C11" s="455" t="s">
        <v>179</v>
      </c>
      <c r="D11" s="466">
        <v>1</v>
      </c>
      <c r="E11" s="457" t="s">
        <v>7</v>
      </c>
      <c r="F11" s="467"/>
      <c r="G11" s="467"/>
      <c r="H11" s="468"/>
      <c r="I11" s="469"/>
      <c r="J11" s="469">
        <f>J47</f>
        <v>459981.4</v>
      </c>
      <c r="K11" s="460"/>
      <c r="L11" s="461"/>
      <c r="M11" s="461"/>
      <c r="N11" s="461"/>
      <c r="O11" s="462"/>
      <c r="P11" s="470"/>
      <c r="Q11" s="470"/>
      <c r="R11" s="470"/>
      <c r="S11" s="462"/>
      <c r="T11" s="42"/>
      <c r="U11" s="42"/>
      <c r="V11" s="42"/>
      <c r="W11" s="43"/>
      <c r="X11" s="43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</row>
    <row r="12" spans="2:36" s="20" customFormat="1" ht="21.95" customHeight="1">
      <c r="B12" s="454"/>
      <c r="C12" s="455" t="s">
        <v>165</v>
      </c>
      <c r="D12" s="471">
        <v>1</v>
      </c>
      <c r="E12" s="457" t="s">
        <v>7</v>
      </c>
      <c r="F12" s="472"/>
      <c r="G12" s="472"/>
      <c r="H12" s="468"/>
      <c r="I12" s="469"/>
      <c r="J12" s="469">
        <f>J65</f>
        <v>16313.792000000001</v>
      </c>
      <c r="K12" s="460"/>
      <c r="L12" s="461"/>
      <c r="M12" s="461"/>
      <c r="N12" s="461"/>
      <c r="O12" s="462"/>
      <c r="P12" s="470"/>
      <c r="Q12" s="473"/>
      <c r="R12" s="474"/>
      <c r="S12" s="462"/>
      <c r="T12" s="42"/>
      <c r="U12" s="42"/>
      <c r="V12" s="42"/>
      <c r="W12" s="43"/>
      <c r="X12" s="43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</row>
    <row r="13" spans="2:36" s="21" customFormat="1" ht="20.45" customHeight="1">
      <c r="B13" s="454"/>
      <c r="C13" s="475" t="s">
        <v>166</v>
      </c>
      <c r="D13" s="471">
        <v>1</v>
      </c>
      <c r="E13" s="457" t="s">
        <v>7</v>
      </c>
      <c r="F13" s="472"/>
      <c r="G13" s="472"/>
      <c r="H13" s="468"/>
      <c r="I13" s="469"/>
      <c r="J13" s="469">
        <f>J68</f>
        <v>6780</v>
      </c>
      <c r="K13" s="460"/>
      <c r="L13" s="461"/>
      <c r="M13" s="461"/>
      <c r="N13" s="461"/>
      <c r="O13" s="474"/>
      <c r="P13" s="474"/>
      <c r="Q13" s="474"/>
      <c r="R13" s="474"/>
      <c r="S13" s="474"/>
      <c r="T13" s="55"/>
      <c r="U13" s="55"/>
      <c r="V13" s="55"/>
      <c r="W13" s="56"/>
      <c r="X13" s="56"/>
    </row>
    <row r="14" spans="2:36" s="21" customFormat="1" ht="20.45" customHeight="1">
      <c r="B14" s="476"/>
      <c r="C14" s="477" t="s">
        <v>167</v>
      </c>
      <c r="D14" s="478">
        <v>1</v>
      </c>
      <c r="E14" s="457" t="s">
        <v>7</v>
      </c>
      <c r="F14" s="467"/>
      <c r="G14" s="467"/>
      <c r="H14" s="479"/>
      <c r="I14" s="467"/>
      <c r="J14" s="467">
        <f>J91</f>
        <v>374863.82</v>
      </c>
      <c r="K14" s="480"/>
      <c r="L14" s="461"/>
      <c r="M14" s="461"/>
      <c r="N14" s="461"/>
      <c r="O14" s="474"/>
      <c r="P14" s="61"/>
      <c r="Q14" s="61"/>
      <c r="R14" s="61"/>
      <c r="S14" s="61"/>
      <c r="T14" s="61"/>
      <c r="U14" s="61"/>
      <c r="V14" s="61"/>
      <c r="W14" s="56"/>
      <c r="X14" s="56"/>
    </row>
    <row r="15" spans="2:36" s="21" customFormat="1" ht="20.45" customHeight="1">
      <c r="B15" s="454"/>
      <c r="C15" s="477" t="s">
        <v>213</v>
      </c>
      <c r="D15" s="478">
        <v>1</v>
      </c>
      <c r="E15" s="457" t="s">
        <v>7</v>
      </c>
      <c r="F15" s="467"/>
      <c r="G15" s="467"/>
      <c r="H15" s="479"/>
      <c r="I15" s="467"/>
      <c r="J15" s="467">
        <f>J104</f>
        <v>28710</v>
      </c>
      <c r="K15" s="460"/>
      <c r="L15" s="461"/>
      <c r="M15" s="461"/>
      <c r="N15" s="461"/>
      <c r="O15" s="474"/>
      <c r="P15" s="354"/>
      <c r="Q15" s="354"/>
      <c r="R15" s="354"/>
      <c r="S15" s="354"/>
      <c r="T15" s="354"/>
      <c r="U15" s="354"/>
      <c r="V15" s="354"/>
      <c r="W15" s="56"/>
      <c r="X15" s="56"/>
    </row>
    <row r="16" spans="2:36" s="21" customFormat="1" ht="20.45" customHeight="1">
      <c r="B16" s="454"/>
      <c r="C16" s="477" t="s">
        <v>212</v>
      </c>
      <c r="D16" s="478">
        <v>1</v>
      </c>
      <c r="E16" s="457" t="s">
        <v>7</v>
      </c>
      <c r="F16" s="467"/>
      <c r="G16" s="467"/>
      <c r="H16" s="479"/>
      <c r="I16" s="467"/>
      <c r="J16" s="467">
        <f>J113</f>
        <v>39400</v>
      </c>
      <c r="K16" s="460"/>
      <c r="L16" s="461"/>
      <c r="M16" s="461"/>
      <c r="N16" s="461"/>
      <c r="O16" s="474"/>
      <c r="P16" s="354"/>
      <c r="Q16" s="354"/>
      <c r="R16" s="354"/>
      <c r="S16" s="354"/>
      <c r="T16" s="354"/>
      <c r="U16" s="354"/>
      <c r="V16" s="354"/>
      <c r="W16" s="56"/>
      <c r="X16" s="56"/>
    </row>
    <row r="17" spans="2:24" s="21" customFormat="1" ht="20.45" customHeight="1">
      <c r="B17" s="454"/>
      <c r="C17" s="481"/>
      <c r="D17" s="478"/>
      <c r="E17" s="457"/>
      <c r="F17" s="467"/>
      <c r="G17" s="467"/>
      <c r="H17" s="479"/>
      <c r="I17" s="467"/>
      <c r="J17" s="467"/>
      <c r="K17" s="460"/>
      <c r="L17" s="461"/>
      <c r="M17" s="461"/>
      <c r="N17" s="461"/>
      <c r="O17" s="474"/>
      <c r="P17" s="354"/>
      <c r="Q17" s="354"/>
      <c r="R17" s="354"/>
      <c r="S17" s="354"/>
      <c r="T17" s="354"/>
      <c r="U17" s="354"/>
      <c r="V17" s="354"/>
      <c r="W17" s="56"/>
      <c r="X17" s="56"/>
    </row>
    <row r="18" spans="2:24" s="21" customFormat="1" ht="20.45" customHeight="1">
      <c r="B18" s="454"/>
      <c r="C18" s="481"/>
      <c r="D18" s="478"/>
      <c r="E18" s="457"/>
      <c r="F18" s="467"/>
      <c r="G18" s="467"/>
      <c r="H18" s="479"/>
      <c r="I18" s="467"/>
      <c r="J18" s="467"/>
      <c r="K18" s="460"/>
      <c r="L18" s="461"/>
      <c r="M18" s="461"/>
      <c r="N18" s="461"/>
      <c r="O18" s="474"/>
      <c r="P18" s="354"/>
      <c r="Q18" s="354"/>
      <c r="R18" s="354"/>
      <c r="S18" s="354"/>
      <c r="T18" s="354"/>
      <c r="U18" s="354"/>
      <c r="V18" s="354"/>
      <c r="W18" s="56"/>
      <c r="X18" s="56"/>
    </row>
    <row r="19" spans="2:24" s="21" customFormat="1" ht="20.45" customHeight="1">
      <c r="B19" s="454"/>
      <c r="C19" s="481"/>
      <c r="D19" s="478"/>
      <c r="E19" s="457"/>
      <c r="F19" s="467"/>
      <c r="G19" s="467"/>
      <c r="H19" s="479"/>
      <c r="I19" s="467"/>
      <c r="J19" s="467"/>
      <c r="K19" s="460"/>
      <c r="L19" s="461"/>
      <c r="M19" s="461"/>
      <c r="N19" s="461"/>
      <c r="O19" s="474"/>
      <c r="P19" s="354"/>
      <c r="Q19" s="354"/>
      <c r="R19" s="354"/>
      <c r="S19" s="354"/>
      <c r="T19" s="354"/>
      <c r="U19" s="354"/>
      <c r="V19" s="354"/>
      <c r="W19" s="56"/>
      <c r="X19" s="56"/>
    </row>
    <row r="20" spans="2:24" s="21" customFormat="1" ht="20.45" customHeight="1">
      <c r="B20" s="454"/>
      <c r="C20" s="481"/>
      <c r="D20" s="478"/>
      <c r="E20" s="457"/>
      <c r="F20" s="467"/>
      <c r="G20" s="467"/>
      <c r="H20" s="479"/>
      <c r="I20" s="467"/>
      <c r="J20" s="467"/>
      <c r="K20" s="460"/>
      <c r="L20" s="461"/>
      <c r="M20" s="461"/>
      <c r="N20" s="461"/>
      <c r="O20" s="474"/>
      <c r="P20" s="354"/>
      <c r="Q20" s="354"/>
      <c r="R20" s="354"/>
      <c r="S20" s="354"/>
      <c r="T20" s="354"/>
      <c r="U20" s="354"/>
      <c r="V20" s="354"/>
      <c r="W20" s="56"/>
      <c r="X20" s="56"/>
    </row>
    <row r="21" spans="2:24" s="21" customFormat="1" ht="20.45" customHeight="1">
      <c r="B21" s="454"/>
      <c r="C21" s="481"/>
      <c r="D21" s="478"/>
      <c r="E21" s="457"/>
      <c r="F21" s="467"/>
      <c r="G21" s="467"/>
      <c r="H21" s="479"/>
      <c r="I21" s="467"/>
      <c r="J21" s="467"/>
      <c r="K21" s="460"/>
      <c r="L21" s="461"/>
      <c r="M21" s="461"/>
      <c r="N21" s="461"/>
      <c r="O21" s="474"/>
      <c r="P21" s="354"/>
      <c r="Q21" s="354"/>
      <c r="R21" s="354"/>
      <c r="S21" s="354"/>
      <c r="T21" s="354"/>
      <c r="U21" s="354"/>
      <c r="V21" s="354"/>
      <c r="W21" s="56"/>
      <c r="X21" s="56"/>
    </row>
    <row r="22" spans="2:24" s="21" customFormat="1" ht="21.95" customHeight="1">
      <c r="B22" s="454"/>
      <c r="C22" s="482"/>
      <c r="D22" s="483"/>
      <c r="E22" s="484"/>
      <c r="F22" s="467"/>
      <c r="G22" s="467"/>
      <c r="H22" s="485"/>
      <c r="I22" s="467"/>
      <c r="J22" s="467"/>
      <c r="K22" s="486"/>
      <c r="L22" s="487"/>
      <c r="M22" s="487"/>
      <c r="N22" s="487"/>
      <c r="O22" s="488"/>
      <c r="P22" s="453"/>
      <c r="Q22" s="489"/>
      <c r="R22" s="453"/>
      <c r="S22" s="453"/>
      <c r="T22" s="56"/>
      <c r="U22" s="56"/>
      <c r="V22" s="56"/>
      <c r="W22" s="56"/>
      <c r="X22" s="56"/>
    </row>
    <row r="23" spans="2:24" s="20" customFormat="1" ht="21.95" customHeight="1">
      <c r="B23" s="490"/>
      <c r="C23" s="491" t="s">
        <v>14</v>
      </c>
      <c r="D23" s="492">
        <v>1</v>
      </c>
      <c r="E23" s="493" t="s">
        <v>15</v>
      </c>
      <c r="F23" s="494"/>
      <c r="G23" s="495"/>
      <c r="H23" s="494"/>
      <c r="I23" s="495"/>
      <c r="J23" s="495">
        <f>SUM(J10:J22)</f>
        <v>1257881.7032999999</v>
      </c>
      <c r="K23" s="496"/>
      <c r="L23" s="497" t="s">
        <v>148</v>
      </c>
      <c r="M23" s="497"/>
      <c r="N23" s="497"/>
      <c r="O23" s="26"/>
      <c r="P23" s="498"/>
      <c r="Q23" s="498"/>
      <c r="R23" s="498"/>
      <c r="S23" s="499" t="s">
        <v>3</v>
      </c>
      <c r="T23" s="86" t="s">
        <v>16</v>
      </c>
      <c r="U23" s="86" t="s">
        <v>17</v>
      </c>
      <c r="V23" s="86" t="s">
        <v>7</v>
      </c>
      <c r="W23" s="86" t="s">
        <v>18</v>
      </c>
      <c r="X23" s="87"/>
    </row>
    <row r="24" spans="2:24" s="98" customFormat="1" ht="21.95" customHeight="1">
      <c r="B24" s="500"/>
      <c r="C24" s="501" t="s">
        <v>163</v>
      </c>
      <c r="D24" s="502">
        <v>11</v>
      </c>
      <c r="E24" s="503" t="s">
        <v>19</v>
      </c>
      <c r="F24" s="504"/>
      <c r="G24" s="504"/>
      <c r="H24" s="505"/>
      <c r="I24" s="504"/>
      <c r="J24" s="504">
        <f>J46*D24</f>
        <v>331832.69130000001</v>
      </c>
      <c r="K24" s="506"/>
      <c r="L24" s="502">
        <v>3</v>
      </c>
      <c r="M24" s="507"/>
      <c r="N24" s="508"/>
      <c r="O24" s="462"/>
      <c r="P24" s="465" t="s">
        <v>20</v>
      </c>
      <c r="Q24" s="465" t="s">
        <v>21</v>
      </c>
      <c r="R24" s="509" t="s">
        <v>22</v>
      </c>
      <c r="S24" s="510">
        <f>(2.2*0.75*0.15)-(1*0.3*0.15)</f>
        <v>0.20250000000000001</v>
      </c>
      <c r="T24" s="511">
        <v>2392.52</v>
      </c>
      <c r="U24" s="509">
        <v>391</v>
      </c>
      <c r="V24" s="511">
        <f>(S24*T24)+(S24*U24)</f>
        <v>563.66280000000006</v>
      </c>
      <c r="W24" s="512">
        <f>V24*5</f>
        <v>2818.3140000000003</v>
      </c>
      <c r="X24" s="42">
        <f>W24*1.2</f>
        <v>3381.9768000000004</v>
      </c>
    </row>
    <row r="25" spans="2:24" s="21" customFormat="1" ht="20.45" customHeight="1">
      <c r="B25" s="513"/>
      <c r="C25" s="514" t="s">
        <v>23</v>
      </c>
      <c r="D25" s="515">
        <v>4.5</v>
      </c>
      <c r="E25" s="516" t="s">
        <v>24</v>
      </c>
      <c r="F25" s="517">
        <v>0</v>
      </c>
      <c r="G25" s="517">
        <f>+D25*F25</f>
        <v>0</v>
      </c>
      <c r="H25" s="518">
        <v>142</v>
      </c>
      <c r="I25" s="517">
        <f>+D25*H25</f>
        <v>639</v>
      </c>
      <c r="J25" s="519">
        <f>+G25+I25</f>
        <v>639</v>
      </c>
      <c r="K25" s="486"/>
      <c r="L25" s="515">
        <v>2.4660000000000002</v>
      </c>
      <c r="M25" s="520">
        <v>3</v>
      </c>
      <c r="N25" s="487"/>
      <c r="O25" s="453"/>
      <c r="P25" s="463">
        <f>2.2*0.75</f>
        <v>1.6500000000000001</v>
      </c>
      <c r="Q25" s="464">
        <f>P25*5</f>
        <v>8.25</v>
      </c>
      <c r="R25" s="521"/>
      <c r="S25" s="522"/>
      <c r="T25" s="522"/>
      <c r="U25" s="522"/>
      <c r="V25" s="522"/>
      <c r="W25" s="522"/>
      <c r="X25" s="56"/>
    </row>
    <row r="26" spans="2:24" s="21" customFormat="1" ht="20.45" customHeight="1">
      <c r="B26" s="523"/>
      <c r="C26" s="524" t="s">
        <v>25</v>
      </c>
      <c r="D26" s="515">
        <v>0.3</v>
      </c>
      <c r="E26" s="516" t="s">
        <v>24</v>
      </c>
      <c r="F26" s="517">
        <v>462</v>
      </c>
      <c r="G26" s="517">
        <f>+D26*F26</f>
        <v>138.6</v>
      </c>
      <c r="H26" s="518">
        <v>104</v>
      </c>
      <c r="I26" s="517">
        <f>+D26*H26</f>
        <v>31.2</v>
      </c>
      <c r="J26" s="519">
        <f>+G26+I26</f>
        <v>169.79999999999998</v>
      </c>
      <c r="K26" s="486"/>
      <c r="L26" s="515">
        <v>0.20599999999999999</v>
      </c>
      <c r="M26" s="520">
        <v>3</v>
      </c>
      <c r="N26" s="487"/>
      <c r="O26" s="453"/>
      <c r="P26" s="522"/>
      <c r="Q26" s="522"/>
      <c r="R26" s="522"/>
      <c r="S26" s="522"/>
      <c r="T26" s="522"/>
      <c r="U26" s="522"/>
      <c r="V26" s="522"/>
      <c r="W26" s="522"/>
      <c r="X26" s="56"/>
    </row>
    <row r="27" spans="2:24" s="21" customFormat="1" ht="20.45" customHeight="1">
      <c r="B27" s="525"/>
      <c r="C27" s="524" t="s">
        <v>26</v>
      </c>
      <c r="D27" s="515">
        <v>0.25</v>
      </c>
      <c r="E27" s="516" t="s">
        <v>24</v>
      </c>
      <c r="F27" s="517">
        <v>2100</v>
      </c>
      <c r="G27" s="517">
        <f>+D27*F27</f>
        <v>525</v>
      </c>
      <c r="H27" s="517">
        <v>426</v>
      </c>
      <c r="I27" s="517">
        <f>+D27*H27</f>
        <v>106.5</v>
      </c>
      <c r="J27" s="517">
        <f>+G27+I27</f>
        <v>631.5</v>
      </c>
      <c r="K27" s="526"/>
      <c r="L27" s="515">
        <v>0.16500000000000001</v>
      </c>
      <c r="M27" s="520">
        <v>3</v>
      </c>
      <c r="N27" s="527"/>
      <c r="O27" s="26" t="str">
        <f>IF((G27+I27)=J27," ","ผิดพลาด")</f>
        <v xml:space="preserve"> </v>
      </c>
      <c r="P27" s="522"/>
      <c r="Q27" s="522"/>
      <c r="R27" s="522"/>
      <c r="S27" s="522"/>
      <c r="T27" s="522"/>
      <c r="U27" s="522"/>
      <c r="V27" s="522"/>
      <c r="W27" s="522"/>
      <c r="X27" s="56"/>
    </row>
    <row r="28" spans="2:24" s="98" customFormat="1" ht="21.95" customHeight="1">
      <c r="B28" s="513"/>
      <c r="C28" s="514" t="s">
        <v>27</v>
      </c>
      <c r="D28" s="515">
        <f t="shared" ref="D28:D43" si="0">L28*M28</f>
        <v>1.8900000000000001</v>
      </c>
      <c r="E28" s="516" t="s">
        <v>24</v>
      </c>
      <c r="F28" s="472">
        <v>2210</v>
      </c>
      <c r="G28" s="517">
        <f>+D28*F28</f>
        <v>4176.9000000000005</v>
      </c>
      <c r="H28" s="518">
        <v>466</v>
      </c>
      <c r="I28" s="517">
        <f>+D28*H28</f>
        <v>880.74</v>
      </c>
      <c r="J28" s="517">
        <f>+G28+I28</f>
        <v>5057.6400000000003</v>
      </c>
      <c r="K28" s="528"/>
      <c r="L28" s="515">
        <v>0.63</v>
      </c>
      <c r="M28" s="520">
        <v>3</v>
      </c>
      <c r="N28" s="508"/>
      <c r="O28" s="462"/>
      <c r="P28" s="509"/>
      <c r="Q28" s="509"/>
      <c r="R28" s="509"/>
      <c r="S28" s="509"/>
      <c r="T28" s="509"/>
      <c r="U28" s="509"/>
      <c r="V28" s="509"/>
      <c r="W28" s="509"/>
      <c r="X28" s="42"/>
    </row>
    <row r="29" spans="2:24" s="21" customFormat="1" ht="20.45" customHeight="1">
      <c r="B29" s="513"/>
      <c r="C29" s="524" t="s">
        <v>28</v>
      </c>
      <c r="D29" s="515">
        <v>4</v>
      </c>
      <c r="E29" s="529" t="s">
        <v>29</v>
      </c>
      <c r="F29" s="530">
        <v>0</v>
      </c>
      <c r="G29" s="530">
        <f>ROUND(D29*F29,0)</f>
        <v>0</v>
      </c>
      <c r="H29" s="531">
        <v>139</v>
      </c>
      <c r="I29" s="530">
        <f>ROUND(D29*H29,0)</f>
        <v>556</v>
      </c>
      <c r="J29" s="530">
        <f>G29+I29</f>
        <v>556</v>
      </c>
      <c r="K29" s="486"/>
      <c r="L29" s="478">
        <v>4</v>
      </c>
      <c r="M29" s="520">
        <v>3</v>
      </c>
      <c r="N29" s="487"/>
      <c r="O29" s="453"/>
      <c r="P29" s="465"/>
      <c r="Q29" s="532">
        <f>0.75*2.2*1.15</f>
        <v>1.8975</v>
      </c>
      <c r="R29" s="533">
        <f>Q29*1.3</f>
        <v>2.4667500000000002</v>
      </c>
      <c r="S29" s="465"/>
      <c r="T29" s="534">
        <f>0.75*2.2*0.1</f>
        <v>0.16500000000000004</v>
      </c>
      <c r="U29" s="535">
        <f>T29*1.25</f>
        <v>0.20625000000000004</v>
      </c>
      <c r="V29" s="465"/>
      <c r="W29" s="536">
        <f>0.75*2.2*0.05</f>
        <v>8.2500000000000018E-2</v>
      </c>
      <c r="X29" s="42"/>
    </row>
    <row r="30" spans="2:24" s="21" customFormat="1" ht="20.45" customHeight="1">
      <c r="B30" s="513"/>
      <c r="C30" s="514" t="s">
        <v>30</v>
      </c>
      <c r="D30" s="515">
        <v>2</v>
      </c>
      <c r="E30" s="529" t="s">
        <v>29</v>
      </c>
      <c r="F30" s="530">
        <v>350</v>
      </c>
      <c r="G30" s="530">
        <f>ROUND(D30*F30,0)</f>
        <v>700</v>
      </c>
      <c r="H30" s="531">
        <v>0</v>
      </c>
      <c r="I30" s="530">
        <f>ROUND(D30*H30,0)</f>
        <v>0</v>
      </c>
      <c r="J30" s="530">
        <f>G30+I30</f>
        <v>700</v>
      </c>
      <c r="K30" s="486"/>
      <c r="L30" s="537">
        <f>L29*0.5</f>
        <v>2</v>
      </c>
      <c r="M30" s="520">
        <v>3</v>
      </c>
      <c r="N30" s="487"/>
      <c r="O30" s="453"/>
      <c r="P30" s="538" t="s">
        <v>31</v>
      </c>
      <c r="Q30" s="538" t="s">
        <v>32</v>
      </c>
      <c r="R30" s="539" t="s">
        <v>33</v>
      </c>
      <c r="S30" s="540" t="s">
        <v>34</v>
      </c>
      <c r="T30" s="540" t="s">
        <v>32</v>
      </c>
      <c r="U30" s="541" t="s">
        <v>35</v>
      </c>
      <c r="V30" s="542" t="s">
        <v>36</v>
      </c>
      <c r="W30" s="542" t="s">
        <v>32</v>
      </c>
      <c r="X30" s="42"/>
    </row>
    <row r="31" spans="2:24" s="21" customFormat="1" ht="20.45" customHeight="1">
      <c r="B31" s="513"/>
      <c r="C31" s="524" t="s">
        <v>37</v>
      </c>
      <c r="D31" s="515">
        <f>L31*M31</f>
        <v>1.7999999999999998</v>
      </c>
      <c r="E31" s="529" t="s">
        <v>38</v>
      </c>
      <c r="F31" s="530">
        <v>150</v>
      </c>
      <c r="G31" s="530">
        <f>ROUND(D31*F31,0)</f>
        <v>270</v>
      </c>
      <c r="H31" s="530">
        <v>0</v>
      </c>
      <c r="I31" s="530">
        <f>ROUND(D31*H31,0)</f>
        <v>0</v>
      </c>
      <c r="J31" s="530">
        <f>G31+I31</f>
        <v>270</v>
      </c>
      <c r="K31" s="543"/>
      <c r="L31" s="478">
        <f>L30*0.3</f>
        <v>0.6</v>
      </c>
      <c r="M31" s="520">
        <v>3</v>
      </c>
      <c r="N31" s="508"/>
      <c r="O31" s="453"/>
      <c r="P31" s="522"/>
      <c r="Q31" s="522"/>
      <c r="R31" s="522"/>
      <c r="S31" s="522"/>
      <c r="T31" s="522"/>
      <c r="U31" s="522"/>
      <c r="V31" s="522"/>
      <c r="W31" s="522"/>
      <c r="X31" s="42"/>
    </row>
    <row r="32" spans="2:24" s="21" customFormat="1" ht="20.45" customHeight="1">
      <c r="B32" s="513"/>
      <c r="C32" s="524" t="s">
        <v>39</v>
      </c>
      <c r="D32" s="515">
        <v>1.1000000000000001</v>
      </c>
      <c r="E32" s="484" t="s">
        <v>40</v>
      </c>
      <c r="F32" s="467">
        <v>48</v>
      </c>
      <c r="G32" s="467">
        <f>D32*F32</f>
        <v>52.800000000000004</v>
      </c>
      <c r="H32" s="467">
        <v>0</v>
      </c>
      <c r="I32" s="467">
        <f>D32*H32</f>
        <v>0</v>
      </c>
      <c r="J32" s="467">
        <f>G32+I32</f>
        <v>52.800000000000004</v>
      </c>
      <c r="K32" s="543"/>
      <c r="L32" s="537">
        <f>L30*0.25</f>
        <v>0.5</v>
      </c>
      <c r="M32" s="520">
        <v>3</v>
      </c>
      <c r="N32" s="508"/>
      <c r="O32" s="453"/>
      <c r="P32" s="544" t="s">
        <v>41</v>
      </c>
      <c r="Q32" s="544" t="s">
        <v>42</v>
      </c>
      <c r="R32" s="544" t="s">
        <v>43</v>
      </c>
      <c r="S32" s="544" t="s">
        <v>42</v>
      </c>
      <c r="T32" s="545" t="s">
        <v>44</v>
      </c>
      <c r="U32" s="522"/>
      <c r="V32" s="522"/>
      <c r="W32" s="522"/>
      <c r="X32" s="42"/>
    </row>
    <row r="33" spans="2:24" s="21" customFormat="1" ht="20.45" customHeight="1">
      <c r="B33" s="513"/>
      <c r="C33" s="514" t="s">
        <v>174</v>
      </c>
      <c r="D33" s="515">
        <v>9.76</v>
      </c>
      <c r="E33" s="516" t="s">
        <v>40</v>
      </c>
      <c r="F33" s="517">
        <v>27.16</v>
      </c>
      <c r="G33" s="517">
        <f>+D33*F33</f>
        <v>265.08159999999998</v>
      </c>
      <c r="H33" s="472">
        <v>4.4000000000000004</v>
      </c>
      <c r="I33" s="517">
        <f>+D33*H33</f>
        <v>42.944000000000003</v>
      </c>
      <c r="J33" s="517">
        <f>+G33+I33</f>
        <v>308.0256</v>
      </c>
      <c r="K33" s="543"/>
      <c r="L33" s="515">
        <v>5.2539999999999996</v>
      </c>
      <c r="M33" s="520">
        <v>3</v>
      </c>
      <c r="N33" s="508"/>
      <c r="O33" s="453"/>
      <c r="P33" s="465"/>
      <c r="Q33" s="546">
        <f>2.2*0.75*0.2</f>
        <v>0.33000000000000007</v>
      </c>
      <c r="R33" s="465"/>
      <c r="S33" s="546">
        <f>1*0.3*1</f>
        <v>0.3</v>
      </c>
      <c r="T33" s="547">
        <f>Q33+S33</f>
        <v>0.63000000000000012</v>
      </c>
      <c r="U33" s="522"/>
      <c r="V33" s="522"/>
      <c r="W33" s="522"/>
      <c r="X33" s="56"/>
    </row>
    <row r="34" spans="2:24" s="21" customFormat="1" ht="20.45" customHeight="1">
      <c r="B34" s="513"/>
      <c r="C34" s="514" t="s">
        <v>175</v>
      </c>
      <c r="D34" s="515">
        <v>12.99</v>
      </c>
      <c r="E34" s="516" t="s">
        <v>40</v>
      </c>
      <c r="F34" s="517">
        <v>23.95</v>
      </c>
      <c r="G34" s="517">
        <f>+D34*F34</f>
        <v>311.1105</v>
      </c>
      <c r="H34" s="472">
        <v>4.4000000000000004</v>
      </c>
      <c r="I34" s="517">
        <f>+D34*H34</f>
        <v>57.156000000000006</v>
      </c>
      <c r="J34" s="517">
        <f>+G34+I34</f>
        <v>368.26650000000001</v>
      </c>
      <c r="K34" s="543"/>
      <c r="L34" s="515">
        <v>8.3290000000000006</v>
      </c>
      <c r="M34" s="520">
        <v>3</v>
      </c>
      <c r="N34" s="508"/>
      <c r="O34" s="453"/>
      <c r="P34" s="542" t="s">
        <v>45</v>
      </c>
      <c r="Q34" s="542"/>
      <c r="R34" s="542"/>
      <c r="S34" s="542"/>
      <c r="T34" s="548"/>
      <c r="U34" s="542"/>
      <c r="V34" s="522"/>
      <c r="W34" s="522"/>
      <c r="X34" s="56"/>
    </row>
    <row r="35" spans="2:24" s="21" customFormat="1" ht="20.45" customHeight="1">
      <c r="B35" s="513"/>
      <c r="C35" s="514" t="s">
        <v>176</v>
      </c>
      <c r="D35" s="515">
        <v>47</v>
      </c>
      <c r="E35" s="516" t="s">
        <v>40</v>
      </c>
      <c r="F35" s="549">
        <v>22.46</v>
      </c>
      <c r="G35" s="517">
        <f>+D35*F35</f>
        <v>1055.6200000000001</v>
      </c>
      <c r="H35" s="472">
        <v>3.6</v>
      </c>
      <c r="I35" s="517">
        <f>+D35*H35</f>
        <v>169.20000000000002</v>
      </c>
      <c r="J35" s="517">
        <f>+G35+I35</f>
        <v>1224.8200000000002</v>
      </c>
      <c r="K35" s="543"/>
      <c r="L35" s="515">
        <v>22.555</v>
      </c>
      <c r="M35" s="520">
        <v>3</v>
      </c>
      <c r="N35" s="508"/>
      <c r="O35" s="453"/>
      <c r="P35" s="542" t="s">
        <v>46</v>
      </c>
      <c r="Q35" s="542" t="s">
        <v>47</v>
      </c>
      <c r="R35" s="542" t="s">
        <v>48</v>
      </c>
      <c r="S35" s="542" t="s">
        <v>47</v>
      </c>
      <c r="T35" s="548" t="s">
        <v>49</v>
      </c>
      <c r="U35" s="542"/>
      <c r="V35" s="522"/>
      <c r="W35" s="522"/>
      <c r="X35" s="56"/>
    </row>
    <row r="36" spans="2:24" s="21" customFormat="1" ht="20.45" customHeight="1">
      <c r="B36" s="513"/>
      <c r="C36" s="550" t="s">
        <v>50</v>
      </c>
      <c r="D36" s="515">
        <v>2.25</v>
      </c>
      <c r="E36" s="516" t="s">
        <v>40</v>
      </c>
      <c r="F36" s="549">
        <v>47.58</v>
      </c>
      <c r="G36" s="517">
        <f>+D36*F36</f>
        <v>107.05499999999999</v>
      </c>
      <c r="H36" s="517">
        <v>0</v>
      </c>
      <c r="I36" s="517">
        <f>+D36*H36</f>
        <v>0</v>
      </c>
      <c r="J36" s="517">
        <f>+G36+I36</f>
        <v>107.05499999999999</v>
      </c>
      <c r="K36" s="543"/>
      <c r="L36" s="478">
        <v>1.0840000000000001</v>
      </c>
      <c r="M36" s="520">
        <v>3</v>
      </c>
      <c r="N36" s="508"/>
      <c r="O36" s="453"/>
      <c r="P36" s="465"/>
      <c r="Q36" s="551">
        <f>(2.2+2.2+0.75+0.75)*0.2</f>
        <v>1.1800000000000002</v>
      </c>
      <c r="R36" s="465"/>
      <c r="S36" s="552">
        <f>(1+0.3+1+0.3)*1</f>
        <v>2.5999999999999996</v>
      </c>
      <c r="T36" s="553">
        <f>Q36+S36</f>
        <v>3.78</v>
      </c>
      <c r="U36" s="542"/>
      <c r="V36" s="522"/>
      <c r="W36" s="522"/>
      <c r="X36" s="56"/>
    </row>
    <row r="37" spans="2:24" s="21" customFormat="1" ht="20.45" customHeight="1">
      <c r="B37" s="513"/>
      <c r="C37" s="554" t="s">
        <v>51</v>
      </c>
      <c r="D37" s="515"/>
      <c r="E37" s="516"/>
      <c r="F37" s="555"/>
      <c r="G37" s="517"/>
      <c r="H37" s="479"/>
      <c r="I37" s="517"/>
      <c r="J37" s="517"/>
      <c r="K37" s="543"/>
      <c r="L37" s="515"/>
      <c r="M37" s="520">
        <v>3</v>
      </c>
      <c r="N37" s="508"/>
      <c r="O37" s="453"/>
      <c r="P37" s="522"/>
      <c r="Q37" s="522"/>
      <c r="R37" s="522"/>
      <c r="S37" s="522"/>
      <c r="T37" s="522"/>
      <c r="U37" s="522"/>
      <c r="V37" s="522"/>
      <c r="W37" s="522"/>
      <c r="X37" s="56"/>
    </row>
    <row r="38" spans="2:24" s="21" customFormat="1" ht="20.45" customHeight="1">
      <c r="B38" s="513"/>
      <c r="C38" s="514" t="s">
        <v>52</v>
      </c>
      <c r="D38" s="515">
        <f t="shared" si="0"/>
        <v>163.19999999999999</v>
      </c>
      <c r="E38" s="516" t="s">
        <v>40</v>
      </c>
      <c r="F38" s="517">
        <v>27.88</v>
      </c>
      <c r="G38" s="517">
        <f>+D38*F38</f>
        <v>4550.0159999999996</v>
      </c>
      <c r="H38" s="517">
        <v>12</v>
      </c>
      <c r="I38" s="517">
        <f>+D38*H38</f>
        <v>1958.3999999999999</v>
      </c>
      <c r="J38" s="517">
        <f>+G38+I38</f>
        <v>6508.4159999999993</v>
      </c>
      <c r="K38" s="486" t="s">
        <v>53</v>
      </c>
      <c r="L38" s="515">
        <v>54.4</v>
      </c>
      <c r="M38" s="520">
        <v>3</v>
      </c>
      <c r="N38" s="487"/>
      <c r="O38" s="556">
        <f>7*7.77</f>
        <v>54.39</v>
      </c>
      <c r="P38" s="522"/>
      <c r="Q38" s="522"/>
      <c r="R38" s="522"/>
      <c r="S38" s="522"/>
      <c r="T38" s="522"/>
      <c r="U38" s="522"/>
      <c r="V38" s="522"/>
      <c r="W38" s="522"/>
      <c r="X38" s="56"/>
    </row>
    <row r="39" spans="2:24" s="21" customFormat="1" ht="20.45" customHeight="1">
      <c r="B39" s="557"/>
      <c r="C39" s="514" t="s">
        <v>54</v>
      </c>
      <c r="D39" s="515">
        <f t="shared" si="0"/>
        <v>195</v>
      </c>
      <c r="E39" s="516" t="s">
        <v>40</v>
      </c>
      <c r="F39" s="517">
        <v>27.88</v>
      </c>
      <c r="G39" s="517">
        <f>+D39*F39</f>
        <v>5436.5999999999995</v>
      </c>
      <c r="H39" s="517">
        <v>12</v>
      </c>
      <c r="I39" s="517">
        <f>+D39*H39</f>
        <v>2340</v>
      </c>
      <c r="J39" s="517">
        <f>+G39+I39</f>
        <v>7776.5999999999995</v>
      </c>
      <c r="K39" s="486" t="s">
        <v>53</v>
      </c>
      <c r="L39" s="515">
        <v>65</v>
      </c>
      <c r="M39" s="520">
        <v>3</v>
      </c>
      <c r="N39" s="487"/>
      <c r="O39" s="556">
        <f>13.83*4.53</f>
        <v>62.649900000000002</v>
      </c>
      <c r="P39" s="522"/>
      <c r="Q39" s="522"/>
      <c r="R39" s="522"/>
      <c r="S39" s="522"/>
      <c r="T39" s="522"/>
      <c r="U39" s="522"/>
      <c r="V39" s="522"/>
      <c r="W39" s="522"/>
      <c r="X39" s="56"/>
    </row>
    <row r="40" spans="2:24" s="21" customFormat="1" ht="20.45" customHeight="1">
      <c r="B40" s="513"/>
      <c r="C40" s="514" t="s">
        <v>55</v>
      </c>
      <c r="D40" s="515">
        <f t="shared" si="0"/>
        <v>27.54</v>
      </c>
      <c r="E40" s="516" t="s">
        <v>40</v>
      </c>
      <c r="F40" s="517">
        <v>27.88</v>
      </c>
      <c r="G40" s="517">
        <f>+D40*F40</f>
        <v>767.8152</v>
      </c>
      <c r="H40" s="517">
        <v>12</v>
      </c>
      <c r="I40" s="517">
        <f>+D40*H40</f>
        <v>330.48</v>
      </c>
      <c r="J40" s="517">
        <f>+G40+I40</f>
        <v>1098.2952</v>
      </c>
      <c r="K40" s="486" t="s">
        <v>53</v>
      </c>
      <c r="L40" s="515">
        <v>9.18</v>
      </c>
      <c r="M40" s="520">
        <v>3</v>
      </c>
      <c r="N40" s="487"/>
      <c r="O40" s="558">
        <f>4.64*1.8</f>
        <v>8.3520000000000003</v>
      </c>
      <c r="P40" s="559">
        <f>O40*0.03</f>
        <v>0.25056</v>
      </c>
      <c r="Q40" s="522"/>
      <c r="R40" s="695" t="s">
        <v>56</v>
      </c>
      <c r="S40" s="696"/>
      <c r="T40" s="697"/>
      <c r="U40" s="522"/>
      <c r="V40" s="522"/>
      <c r="W40" s="522"/>
      <c r="X40" s="56"/>
    </row>
    <row r="41" spans="2:24" s="21" customFormat="1" ht="20.45" customHeight="1">
      <c r="B41" s="513"/>
      <c r="C41" s="514" t="s">
        <v>151</v>
      </c>
      <c r="D41" s="515">
        <f t="shared" si="0"/>
        <v>15</v>
      </c>
      <c r="E41" s="457" t="s">
        <v>57</v>
      </c>
      <c r="F41" s="517">
        <v>75</v>
      </c>
      <c r="G41" s="517">
        <f>+D41*F41</f>
        <v>1125</v>
      </c>
      <c r="H41" s="517">
        <v>0</v>
      </c>
      <c r="I41" s="517">
        <f>+D41*H41</f>
        <v>0</v>
      </c>
      <c r="J41" s="517">
        <f>+G41+I41</f>
        <v>1125</v>
      </c>
      <c r="K41" s="543"/>
      <c r="L41" s="515">
        <v>5</v>
      </c>
      <c r="M41" s="520">
        <v>3</v>
      </c>
      <c r="N41" s="508"/>
      <c r="O41" s="453"/>
      <c r="P41" s="538" t="s">
        <v>58</v>
      </c>
      <c r="Q41" s="538"/>
      <c r="R41" s="560" t="s">
        <v>59</v>
      </c>
      <c r="S41" s="538"/>
      <c r="T41" s="538"/>
      <c r="U41" s="538"/>
      <c r="V41" s="538"/>
      <c r="W41" s="522"/>
      <c r="X41" s="56"/>
    </row>
    <row r="42" spans="2:24" s="21" customFormat="1" ht="20.45" customHeight="1">
      <c r="B42" s="513"/>
      <c r="C42" s="482" t="s">
        <v>60</v>
      </c>
      <c r="D42" s="515">
        <f t="shared" si="0"/>
        <v>17.940000000000001</v>
      </c>
      <c r="E42" s="484" t="s">
        <v>29</v>
      </c>
      <c r="F42" s="561">
        <v>45</v>
      </c>
      <c r="G42" s="561">
        <f>D42*F42</f>
        <v>807.30000000000007</v>
      </c>
      <c r="H42" s="562">
        <v>35</v>
      </c>
      <c r="I42" s="561">
        <f>D42*H42</f>
        <v>627.90000000000009</v>
      </c>
      <c r="J42" s="561">
        <f>G42+I42</f>
        <v>1435.2000000000003</v>
      </c>
      <c r="K42" s="563"/>
      <c r="L42" s="537">
        <v>5.98</v>
      </c>
      <c r="M42" s="520">
        <v>3</v>
      </c>
      <c r="N42" s="508"/>
      <c r="O42" s="453"/>
      <c r="P42" s="538" t="s">
        <v>61</v>
      </c>
      <c r="Q42" s="538" t="s">
        <v>62</v>
      </c>
      <c r="R42" s="539">
        <v>1107</v>
      </c>
      <c r="S42" s="539">
        <f>R42*1.5</f>
        <v>1660.5</v>
      </c>
      <c r="T42" s="564">
        <f>S42/46.56</f>
        <v>35.663659793814432</v>
      </c>
      <c r="U42" s="564"/>
      <c r="V42" s="538"/>
      <c r="W42" s="522"/>
      <c r="X42" s="56"/>
    </row>
    <row r="43" spans="2:24" s="21" customFormat="1" ht="20.45" customHeight="1">
      <c r="B43" s="513"/>
      <c r="C43" s="482" t="s">
        <v>63</v>
      </c>
      <c r="D43" s="515">
        <f t="shared" si="0"/>
        <v>17.940000000000001</v>
      </c>
      <c r="E43" s="484" t="s">
        <v>29</v>
      </c>
      <c r="F43" s="561">
        <v>35</v>
      </c>
      <c r="G43" s="561">
        <f>D43*F43</f>
        <v>627.90000000000009</v>
      </c>
      <c r="H43" s="562">
        <v>35</v>
      </c>
      <c r="I43" s="561">
        <f>D43*H43</f>
        <v>627.90000000000009</v>
      </c>
      <c r="J43" s="561">
        <f>G43+I43</f>
        <v>1255.8000000000002</v>
      </c>
      <c r="K43" s="563"/>
      <c r="L43" s="537">
        <v>5.98</v>
      </c>
      <c r="M43" s="520">
        <v>3</v>
      </c>
      <c r="N43" s="508"/>
      <c r="O43" s="453"/>
      <c r="P43" s="538" t="s">
        <v>64</v>
      </c>
      <c r="Q43" s="538" t="s">
        <v>65</v>
      </c>
      <c r="R43" s="539">
        <v>615</v>
      </c>
      <c r="S43" s="539">
        <f>R43*1.5</f>
        <v>922.5</v>
      </c>
      <c r="T43" s="564">
        <f>S43/27.12</f>
        <v>34.015486725663713</v>
      </c>
      <c r="U43" s="564"/>
      <c r="V43" s="538"/>
      <c r="W43" s="522"/>
      <c r="X43" s="56"/>
    </row>
    <row r="44" spans="2:24" s="21" customFormat="1" ht="20.45" customHeight="1">
      <c r="B44" s="513"/>
      <c r="C44" s="565" t="s">
        <v>66</v>
      </c>
      <c r="D44" s="515">
        <f>L44*M44</f>
        <v>13.169999999999998</v>
      </c>
      <c r="E44" s="484" t="s">
        <v>29</v>
      </c>
      <c r="F44" s="472">
        <v>35</v>
      </c>
      <c r="G44" s="467">
        <f>D44*F44</f>
        <v>460.94999999999993</v>
      </c>
      <c r="H44" s="467">
        <v>32</v>
      </c>
      <c r="I44" s="467">
        <f>D44*H44</f>
        <v>421.43999999999994</v>
      </c>
      <c r="J44" s="467">
        <f>G44+I44</f>
        <v>882.38999999999987</v>
      </c>
      <c r="K44" s="486"/>
      <c r="L44" s="478">
        <v>4.3899999999999997</v>
      </c>
      <c r="M44" s="520">
        <v>3</v>
      </c>
      <c r="N44" s="487"/>
      <c r="O44" s="453"/>
      <c r="P44" s="538" t="s">
        <v>67</v>
      </c>
      <c r="Q44" s="538" t="s">
        <v>68</v>
      </c>
      <c r="R44" s="539">
        <v>223.86</v>
      </c>
      <c r="S44" s="539">
        <f>R44*1.5</f>
        <v>335.79</v>
      </c>
      <c r="T44" s="564">
        <f>S44/10.8</f>
        <v>31.091666666666665</v>
      </c>
      <c r="U44" s="564"/>
      <c r="V44" s="538"/>
      <c r="W44" s="522"/>
      <c r="X44" s="56"/>
    </row>
    <row r="45" spans="2:24" s="17" customFormat="1" ht="21.75" customHeight="1">
      <c r="B45" s="523"/>
      <c r="C45" s="482"/>
      <c r="D45" s="537"/>
      <c r="E45" s="484"/>
      <c r="F45" s="561"/>
      <c r="G45" s="561"/>
      <c r="H45" s="562"/>
      <c r="I45" s="561"/>
      <c r="J45" s="561"/>
      <c r="K45" s="563"/>
      <c r="L45" s="537"/>
      <c r="M45" s="520">
        <v>3</v>
      </c>
      <c r="N45" s="508"/>
      <c r="O45" s="488"/>
      <c r="P45" s="147">
        <v>5.93</v>
      </c>
      <c r="Q45" s="148">
        <f>0.01*5</f>
        <v>0.05</v>
      </c>
      <c r="R45" s="147">
        <f>P45+Q45</f>
        <v>5.9799999999999995</v>
      </c>
      <c r="S45" s="147"/>
      <c r="T45" s="488"/>
      <c r="U45" s="488"/>
      <c r="V45" s="488"/>
      <c r="W45" s="488"/>
      <c r="X45" s="43"/>
    </row>
    <row r="46" spans="2:24" s="21" customFormat="1" ht="21.95" customHeight="1">
      <c r="B46" s="566"/>
      <c r="C46" s="567" t="s">
        <v>69</v>
      </c>
      <c r="D46" s="492">
        <v>1</v>
      </c>
      <c r="E46" s="493" t="s">
        <v>19</v>
      </c>
      <c r="F46" s="568"/>
      <c r="G46" s="568">
        <f>SUM(G25:G45)</f>
        <v>21377.748300000003</v>
      </c>
      <c r="H46" s="494"/>
      <c r="I46" s="568">
        <f>SUM(I25:I45)</f>
        <v>8788.8599999999988</v>
      </c>
      <c r="J46" s="568">
        <f>SUM(J25:J45)</f>
        <v>30166.6083</v>
      </c>
      <c r="K46" s="569"/>
      <c r="L46" s="492">
        <v>1</v>
      </c>
      <c r="M46" s="520"/>
      <c r="N46" s="527"/>
      <c r="O46" s="26" t="str">
        <f>IF((G46+I46)=J46," ","ผิดพลาด")</f>
        <v xml:space="preserve"> </v>
      </c>
      <c r="P46" s="13"/>
    </row>
    <row r="47" spans="2:24" s="21" customFormat="1" ht="21.95" customHeight="1">
      <c r="B47" s="570"/>
      <c r="C47" s="501" t="s">
        <v>168</v>
      </c>
      <c r="D47" s="502">
        <v>10</v>
      </c>
      <c r="E47" s="503" t="s">
        <v>70</v>
      </c>
      <c r="F47" s="504"/>
      <c r="G47" s="504"/>
      <c r="H47" s="505"/>
      <c r="I47" s="504"/>
      <c r="J47" s="504">
        <f>D47*J56</f>
        <v>459981.4</v>
      </c>
      <c r="K47" s="571"/>
      <c r="L47" s="502">
        <v>1</v>
      </c>
      <c r="M47" s="520"/>
      <c r="N47" s="497"/>
      <c r="O47" s="13"/>
      <c r="P47" s="572">
        <f>D47*J68</f>
        <v>67800</v>
      </c>
    </row>
    <row r="48" spans="2:24" s="21" customFormat="1" ht="21.95" customHeight="1">
      <c r="B48" s="573"/>
      <c r="C48" s="524" t="s">
        <v>71</v>
      </c>
      <c r="D48" s="515"/>
      <c r="E48" s="574"/>
      <c r="F48" s="575"/>
      <c r="G48" s="576"/>
      <c r="H48" s="576"/>
      <c r="I48" s="576"/>
      <c r="J48" s="577"/>
      <c r="K48" s="578"/>
      <c r="L48" s="515"/>
      <c r="M48" s="520"/>
      <c r="N48" s="579"/>
      <c r="O48" s="17"/>
      <c r="P48" s="13"/>
    </row>
    <row r="49" spans="2:24" s="21" customFormat="1" ht="21.95" customHeight="1">
      <c r="B49" s="573"/>
      <c r="C49" s="514" t="s">
        <v>150</v>
      </c>
      <c r="D49" s="515">
        <f>L49*M49</f>
        <v>17</v>
      </c>
      <c r="E49" s="516" t="s">
        <v>40</v>
      </c>
      <c r="F49" s="576">
        <v>24.57</v>
      </c>
      <c r="G49" s="576">
        <f>+D49*F49</f>
        <v>417.69</v>
      </c>
      <c r="H49" s="576">
        <v>12</v>
      </c>
      <c r="I49" s="576">
        <f>+D49*H49</f>
        <v>204</v>
      </c>
      <c r="J49" s="576">
        <f>+G49+I49</f>
        <v>621.69000000000005</v>
      </c>
      <c r="K49" s="543"/>
      <c r="L49" s="515">
        <v>8.5</v>
      </c>
      <c r="M49" s="520">
        <v>2</v>
      </c>
      <c r="N49" s="508"/>
      <c r="P49" s="162" t="s">
        <v>72</v>
      </c>
      <c r="Q49" s="163">
        <f>6*1.39</f>
        <v>8.34</v>
      </c>
      <c r="R49" s="164"/>
      <c r="S49" s="164"/>
    </row>
    <row r="50" spans="2:24" s="21" customFormat="1" ht="21.95" customHeight="1">
      <c r="B50" s="580"/>
      <c r="C50" s="581" t="s">
        <v>51</v>
      </c>
      <c r="D50" s="515"/>
      <c r="E50" s="516"/>
      <c r="F50" s="582"/>
      <c r="G50" s="576"/>
      <c r="H50" s="576"/>
      <c r="I50" s="576"/>
      <c r="J50" s="576"/>
      <c r="K50" s="543"/>
      <c r="L50" s="515"/>
      <c r="M50" s="520"/>
      <c r="N50" s="508"/>
      <c r="P50" s="168" t="s">
        <v>73</v>
      </c>
      <c r="Q50" s="168" t="s">
        <v>74</v>
      </c>
      <c r="R50" s="169" t="s">
        <v>75</v>
      </c>
      <c r="S50" s="169" t="s">
        <v>76</v>
      </c>
    </row>
    <row r="51" spans="2:24" s="21" customFormat="1" ht="21.95" customHeight="1">
      <c r="B51" s="583"/>
      <c r="C51" s="514" t="s">
        <v>149</v>
      </c>
      <c r="D51" s="515">
        <f>L51*M51</f>
        <v>370</v>
      </c>
      <c r="E51" s="516" t="s">
        <v>40</v>
      </c>
      <c r="F51" s="467">
        <v>27.88</v>
      </c>
      <c r="G51" s="576">
        <f>+D51*F51</f>
        <v>10315.6</v>
      </c>
      <c r="H51" s="576">
        <v>12</v>
      </c>
      <c r="I51" s="576">
        <f>+D51*H51</f>
        <v>4440</v>
      </c>
      <c r="J51" s="576">
        <f>+G51+I51</f>
        <v>14755.6</v>
      </c>
      <c r="K51" s="486" t="s">
        <v>53</v>
      </c>
      <c r="L51" s="515">
        <v>185</v>
      </c>
      <c r="M51" s="520">
        <v>2</v>
      </c>
      <c r="N51" s="487"/>
      <c r="O51" s="171">
        <f>27.5*6.72</f>
        <v>184.79999999999998</v>
      </c>
      <c r="P51" s="172">
        <f>5*5*4.92</f>
        <v>123</v>
      </c>
      <c r="Q51" s="168" t="s">
        <v>77</v>
      </c>
      <c r="R51" s="173">
        <f>530*1.4</f>
        <v>742</v>
      </c>
      <c r="S51" s="174">
        <f>R51/29.5</f>
        <v>25.152542372881356</v>
      </c>
    </row>
    <row r="52" spans="2:24" s="21" customFormat="1" ht="21.95" customHeight="1">
      <c r="B52" s="583"/>
      <c r="C52" s="581" t="s">
        <v>78</v>
      </c>
      <c r="D52" s="515"/>
      <c r="E52" s="516"/>
      <c r="F52" s="582"/>
      <c r="G52" s="576"/>
      <c r="H52" s="576"/>
      <c r="I52" s="576"/>
      <c r="J52" s="576"/>
      <c r="K52" s="484"/>
      <c r="L52" s="515"/>
      <c r="M52" s="520"/>
      <c r="N52" s="487"/>
    </row>
    <row r="53" spans="2:24" s="21" customFormat="1" ht="21.95" customHeight="1">
      <c r="B53" s="583"/>
      <c r="C53" s="514" t="s">
        <v>218</v>
      </c>
      <c r="D53" s="515">
        <f>L53*M53</f>
        <v>71.16</v>
      </c>
      <c r="E53" s="516" t="s">
        <v>29</v>
      </c>
      <c r="F53" s="517">
        <v>290</v>
      </c>
      <c r="G53" s="576">
        <f>+D53*F53</f>
        <v>20636.399999999998</v>
      </c>
      <c r="H53" s="576">
        <v>80</v>
      </c>
      <c r="I53" s="576">
        <f>+D53*H53</f>
        <v>5692.7999999999993</v>
      </c>
      <c r="J53" s="576">
        <f>+G53+I53</f>
        <v>26329.199999999997</v>
      </c>
      <c r="K53" s="484"/>
      <c r="L53" s="515">
        <v>35.58</v>
      </c>
      <c r="M53" s="520">
        <v>2</v>
      </c>
      <c r="N53" s="487"/>
      <c r="P53" s="168" t="s">
        <v>80</v>
      </c>
      <c r="Q53" s="173">
        <v>6.2</v>
      </c>
      <c r="R53" s="169" t="s">
        <v>81</v>
      </c>
      <c r="S53" s="164"/>
    </row>
    <row r="54" spans="2:24" s="21" customFormat="1" ht="21.95" customHeight="1">
      <c r="B54" s="584"/>
      <c r="C54" s="482" t="s">
        <v>60</v>
      </c>
      <c r="D54" s="515">
        <f>L54*M54</f>
        <v>28.05</v>
      </c>
      <c r="E54" s="484" t="s">
        <v>29</v>
      </c>
      <c r="F54" s="561">
        <v>45</v>
      </c>
      <c r="G54" s="561">
        <f>D54*F54</f>
        <v>1262.25</v>
      </c>
      <c r="H54" s="562">
        <v>35</v>
      </c>
      <c r="I54" s="561">
        <f>D54*H54</f>
        <v>981.75</v>
      </c>
      <c r="J54" s="561">
        <f>G54+I54</f>
        <v>2244</v>
      </c>
      <c r="K54" s="484"/>
      <c r="L54" s="537">
        <v>14.025</v>
      </c>
      <c r="M54" s="520">
        <v>2</v>
      </c>
      <c r="N54" s="487"/>
      <c r="P54" s="168" t="s">
        <v>82</v>
      </c>
      <c r="Q54" s="173">
        <v>5</v>
      </c>
      <c r="R54" s="173">
        <f>Q53*Q54</f>
        <v>31</v>
      </c>
      <c r="S54" s="164"/>
    </row>
    <row r="55" spans="2:24" s="21" customFormat="1" ht="21.95" customHeight="1">
      <c r="B55" s="580"/>
      <c r="C55" s="482" t="s">
        <v>63</v>
      </c>
      <c r="D55" s="515">
        <f>L55*M55</f>
        <v>28.05</v>
      </c>
      <c r="E55" s="484" t="s">
        <v>29</v>
      </c>
      <c r="F55" s="561">
        <v>38</v>
      </c>
      <c r="G55" s="561">
        <f>D55*F55</f>
        <v>1065.9000000000001</v>
      </c>
      <c r="H55" s="562">
        <v>35</v>
      </c>
      <c r="I55" s="561">
        <f>D55*H55</f>
        <v>981.75</v>
      </c>
      <c r="J55" s="561">
        <f>G55+I55</f>
        <v>2047.65</v>
      </c>
      <c r="K55" s="484"/>
      <c r="L55" s="537">
        <v>14.025</v>
      </c>
      <c r="M55" s="520">
        <v>2</v>
      </c>
      <c r="N55" s="487"/>
      <c r="P55" s="176"/>
      <c r="Q55" s="13"/>
    </row>
    <row r="56" spans="2:24" s="21" customFormat="1" ht="21.95" customHeight="1">
      <c r="B56" s="585"/>
      <c r="C56" s="586" t="s">
        <v>83</v>
      </c>
      <c r="D56" s="492">
        <v>1</v>
      </c>
      <c r="E56" s="493" t="s">
        <v>70</v>
      </c>
      <c r="F56" s="587"/>
      <c r="G56" s="568">
        <f>SUM(G48:G55)</f>
        <v>33697.839999999997</v>
      </c>
      <c r="H56" s="494"/>
      <c r="I56" s="568">
        <f>SUM(I48:I55)</f>
        <v>12300.3</v>
      </c>
      <c r="J56" s="568">
        <f>SUM(J48:J55)</f>
        <v>45998.14</v>
      </c>
      <c r="K56" s="588"/>
      <c r="L56" s="492">
        <v>1</v>
      </c>
      <c r="M56" s="520"/>
      <c r="N56" s="589"/>
      <c r="O56" s="26" t="str">
        <f>IF((G56+I56)=J56," ","ผิดพลาด")</f>
        <v xml:space="preserve"> </v>
      </c>
      <c r="P56" s="145" t="s">
        <v>84</v>
      </c>
      <c r="Q56" s="146"/>
      <c r="R56" s="146"/>
      <c r="S56" s="145"/>
    </row>
    <row r="57" spans="2:24" s="21" customFormat="1" ht="21.95" customHeight="1">
      <c r="B57" s="590"/>
      <c r="C57" s="591" t="s">
        <v>165</v>
      </c>
      <c r="D57" s="592"/>
      <c r="E57" s="593"/>
      <c r="F57" s="594"/>
      <c r="G57" s="594"/>
      <c r="H57" s="595"/>
      <c r="I57" s="594"/>
      <c r="J57" s="594"/>
      <c r="K57" s="596"/>
      <c r="L57" s="592"/>
      <c r="M57" s="520"/>
      <c r="N57" s="597"/>
      <c r="O57" s="26"/>
      <c r="P57" s="147">
        <v>14.025</v>
      </c>
      <c r="Q57" s="148"/>
      <c r="R57" s="147"/>
      <c r="S57" s="147"/>
    </row>
    <row r="58" spans="2:24" s="191" customFormat="1" ht="21.95" customHeight="1">
      <c r="B58" s="598"/>
      <c r="C58" s="599" t="s">
        <v>51</v>
      </c>
      <c r="D58" s="515"/>
      <c r="E58" s="516"/>
      <c r="F58" s="582"/>
      <c r="G58" s="576"/>
      <c r="H58" s="576"/>
      <c r="I58" s="576"/>
      <c r="J58" s="576"/>
      <c r="K58" s="600"/>
      <c r="L58" s="515"/>
      <c r="M58" s="520"/>
      <c r="N58" s="601"/>
      <c r="O58" s="21"/>
      <c r="P58" s="21"/>
      <c r="Q58" s="17"/>
    </row>
    <row r="59" spans="2:24" s="191" customFormat="1" ht="21.95" customHeight="1">
      <c r="B59" s="580"/>
      <c r="C59" s="602" t="s">
        <v>152</v>
      </c>
      <c r="D59" s="515">
        <f t="shared" ref="D59:D64" si="1">L59*M59</f>
        <v>98.4</v>
      </c>
      <c r="E59" s="457" t="s">
        <v>40</v>
      </c>
      <c r="F59" s="467">
        <v>27.88</v>
      </c>
      <c r="G59" s="576">
        <f>+D59*F59</f>
        <v>2743.3920000000003</v>
      </c>
      <c r="H59" s="517">
        <v>12</v>
      </c>
      <c r="I59" s="517">
        <f>+D59*H59</f>
        <v>1180.8000000000002</v>
      </c>
      <c r="J59" s="517">
        <f>+G59+I59</f>
        <v>3924.1920000000005</v>
      </c>
      <c r="K59" s="486" t="s">
        <v>53</v>
      </c>
      <c r="L59" s="515">
        <v>49.2</v>
      </c>
      <c r="M59" s="520">
        <v>2</v>
      </c>
      <c r="N59" s="487"/>
      <c r="O59" s="21"/>
      <c r="P59" s="193" t="s">
        <v>73</v>
      </c>
      <c r="Q59" s="193" t="s">
        <v>74</v>
      </c>
      <c r="R59" s="194" t="s">
        <v>75</v>
      </c>
      <c r="S59" s="194" t="s">
        <v>76</v>
      </c>
    </row>
    <row r="60" spans="2:24" s="21" customFormat="1" ht="21.95" customHeight="1">
      <c r="B60" s="580"/>
      <c r="C60" s="602" t="s">
        <v>85</v>
      </c>
      <c r="D60" s="515">
        <f t="shared" si="1"/>
        <v>20</v>
      </c>
      <c r="E60" s="457" t="s">
        <v>57</v>
      </c>
      <c r="F60" s="517">
        <v>75</v>
      </c>
      <c r="G60" s="517">
        <f>+D60*F60</f>
        <v>1500</v>
      </c>
      <c r="H60" s="517">
        <v>0</v>
      </c>
      <c r="I60" s="517">
        <f>+D60*H60</f>
        <v>0</v>
      </c>
      <c r="J60" s="517">
        <f>+G60+I60</f>
        <v>1500</v>
      </c>
      <c r="K60" s="603"/>
      <c r="L60" s="515">
        <v>10</v>
      </c>
      <c r="M60" s="520">
        <v>2</v>
      </c>
      <c r="N60" s="597"/>
      <c r="P60" s="196">
        <f>2*5*4.92</f>
        <v>49.2</v>
      </c>
      <c r="Q60" s="193" t="s">
        <v>77</v>
      </c>
      <c r="R60" s="197">
        <f>530*1.4</f>
        <v>742</v>
      </c>
      <c r="S60" s="198">
        <f>R60/29.5</f>
        <v>25.152542372881356</v>
      </c>
    </row>
    <row r="61" spans="2:24" s="21" customFormat="1" ht="21.95" customHeight="1">
      <c r="B61" s="580"/>
      <c r="C61" s="599" t="s">
        <v>78</v>
      </c>
      <c r="D61" s="515"/>
      <c r="E61" s="457"/>
      <c r="F61" s="518"/>
      <c r="G61" s="517"/>
      <c r="H61" s="517"/>
      <c r="I61" s="517"/>
      <c r="J61" s="517"/>
      <c r="K61" s="603"/>
      <c r="L61" s="515"/>
      <c r="M61" s="520">
        <v>2</v>
      </c>
      <c r="N61" s="597"/>
      <c r="P61" s="168" t="s">
        <v>80</v>
      </c>
      <c r="Q61" s="173">
        <v>6.2</v>
      </c>
      <c r="R61" s="169" t="s">
        <v>81</v>
      </c>
      <c r="S61" s="453"/>
      <c r="T61" s="56"/>
      <c r="U61" s="56"/>
      <c r="V61" s="56"/>
      <c r="W61" s="56"/>
      <c r="X61" s="56"/>
    </row>
    <row r="62" spans="2:24" s="21" customFormat="1" ht="21.95" customHeight="1">
      <c r="B62" s="580"/>
      <c r="C62" s="602" t="s">
        <v>79</v>
      </c>
      <c r="D62" s="515">
        <f t="shared" si="1"/>
        <v>24.8</v>
      </c>
      <c r="E62" s="457" t="s">
        <v>29</v>
      </c>
      <c r="F62" s="517">
        <v>290</v>
      </c>
      <c r="G62" s="517">
        <f>+D62*F62</f>
        <v>7192</v>
      </c>
      <c r="H62" s="517">
        <v>80</v>
      </c>
      <c r="I62" s="517">
        <f>+D62*H62</f>
        <v>1984</v>
      </c>
      <c r="J62" s="517">
        <f>+G62+I62</f>
        <v>9176</v>
      </c>
      <c r="K62" s="603"/>
      <c r="L62" s="515">
        <v>12.4</v>
      </c>
      <c r="M62" s="520">
        <v>2</v>
      </c>
      <c r="N62" s="597"/>
      <c r="P62" s="168" t="s">
        <v>86</v>
      </c>
      <c r="Q62" s="173">
        <v>1</v>
      </c>
      <c r="R62" s="173">
        <f>Q61*Q62*2</f>
        <v>12.4</v>
      </c>
    </row>
    <row r="63" spans="2:24" s="21" customFormat="1" ht="21.95" customHeight="1">
      <c r="B63" s="580"/>
      <c r="C63" s="482" t="s">
        <v>60</v>
      </c>
      <c r="D63" s="515">
        <f t="shared" si="1"/>
        <v>11.2</v>
      </c>
      <c r="E63" s="484" t="s">
        <v>29</v>
      </c>
      <c r="F63" s="561">
        <v>45</v>
      </c>
      <c r="G63" s="561">
        <f>D63*F63</f>
        <v>503.99999999999994</v>
      </c>
      <c r="H63" s="562">
        <v>35</v>
      </c>
      <c r="I63" s="561">
        <f>D63*H63</f>
        <v>392</v>
      </c>
      <c r="J63" s="561">
        <f>G63+I63</f>
        <v>896</v>
      </c>
      <c r="K63" s="484"/>
      <c r="L63" s="537">
        <v>5.6</v>
      </c>
      <c r="M63" s="520">
        <v>2</v>
      </c>
      <c r="N63" s="487"/>
      <c r="P63" s="145" t="s">
        <v>84</v>
      </c>
      <c r="Q63" s="146"/>
      <c r="R63" s="146"/>
      <c r="S63" s="145"/>
    </row>
    <row r="64" spans="2:24" s="21" customFormat="1" ht="21.95" customHeight="1">
      <c r="B64" s="598"/>
      <c r="C64" s="482" t="s">
        <v>63</v>
      </c>
      <c r="D64" s="515">
        <f t="shared" si="1"/>
        <v>11.2</v>
      </c>
      <c r="E64" s="484" t="s">
        <v>29</v>
      </c>
      <c r="F64" s="561">
        <v>38</v>
      </c>
      <c r="G64" s="561">
        <f>D64*F64</f>
        <v>425.59999999999997</v>
      </c>
      <c r="H64" s="562">
        <v>35</v>
      </c>
      <c r="I64" s="561">
        <f>D64*H64</f>
        <v>392</v>
      </c>
      <c r="J64" s="561">
        <f>G64+I64</f>
        <v>817.59999999999991</v>
      </c>
      <c r="K64" s="484"/>
      <c r="L64" s="537">
        <v>5.6</v>
      </c>
      <c r="M64" s="520">
        <v>2</v>
      </c>
      <c r="N64" s="487"/>
      <c r="P64" s="145">
        <f>2*2.8</f>
        <v>5.6</v>
      </c>
      <c r="Q64" s="199"/>
      <c r="R64" s="145"/>
      <c r="S64" s="145"/>
    </row>
    <row r="65" spans="2:21" s="21" customFormat="1" ht="21.95" customHeight="1">
      <c r="B65" s="585"/>
      <c r="C65" s="586" t="s">
        <v>87</v>
      </c>
      <c r="D65" s="492"/>
      <c r="E65" s="493"/>
      <c r="F65" s="587"/>
      <c r="G65" s="568">
        <f>SUM(G59:G64)</f>
        <v>12364.992</v>
      </c>
      <c r="H65" s="494"/>
      <c r="I65" s="568">
        <f>SUM(I59:I64)</f>
        <v>3948.8</v>
      </c>
      <c r="J65" s="568">
        <f>SUM(J59:J64)</f>
        <v>16313.792000000001</v>
      </c>
      <c r="K65" s="588"/>
      <c r="L65" s="492"/>
      <c r="M65" s="520"/>
      <c r="N65" s="589"/>
      <c r="O65" s="26" t="str">
        <f>IF((G65+I65)=J65," ","ผิดพลาด")</f>
        <v xml:space="preserve"> </v>
      </c>
      <c r="P65" s="164"/>
      <c r="Q65" s="200" t="s">
        <v>88</v>
      </c>
      <c r="R65" s="200" t="s">
        <v>89</v>
      </c>
      <c r="S65" s="200" t="s">
        <v>90</v>
      </c>
      <c r="T65" s="200" t="s">
        <v>91</v>
      </c>
      <c r="U65" s="200" t="s">
        <v>7</v>
      </c>
    </row>
    <row r="66" spans="2:21" s="21" customFormat="1" ht="21.95" customHeight="1">
      <c r="B66" s="454"/>
      <c r="C66" s="591" t="s">
        <v>166</v>
      </c>
      <c r="D66" s="604"/>
      <c r="E66" s="605"/>
      <c r="F66" s="606"/>
      <c r="G66" s="607"/>
      <c r="H66" s="608"/>
      <c r="I66" s="609"/>
      <c r="J66" s="606"/>
      <c r="K66" s="610"/>
      <c r="L66" s="604"/>
      <c r="M66" s="520"/>
      <c r="N66" s="611"/>
      <c r="O66" s="207"/>
      <c r="P66" s="164" t="s">
        <v>92</v>
      </c>
      <c r="Q66" s="208">
        <v>6.2</v>
      </c>
      <c r="R66" s="209">
        <v>5.2</v>
      </c>
      <c r="S66" s="200">
        <v>4</v>
      </c>
      <c r="T66" s="200">
        <v>5</v>
      </c>
      <c r="U66" s="200"/>
    </row>
    <row r="67" spans="2:21" s="21" customFormat="1" ht="21.95" customHeight="1">
      <c r="B67" s="476"/>
      <c r="C67" s="482" t="s">
        <v>93</v>
      </c>
      <c r="D67" s="478">
        <v>12</v>
      </c>
      <c r="E67" s="484" t="s">
        <v>29</v>
      </c>
      <c r="F67" s="472">
        <v>530</v>
      </c>
      <c r="G67" s="467">
        <f>D67*F67</f>
        <v>6360</v>
      </c>
      <c r="H67" s="467">
        <v>35</v>
      </c>
      <c r="I67" s="467">
        <f>D67*H67</f>
        <v>420</v>
      </c>
      <c r="J67" s="467">
        <f>G67+I67</f>
        <v>6780</v>
      </c>
      <c r="K67" s="612"/>
      <c r="L67" s="478">
        <f>1.6+0.88</f>
        <v>2.48</v>
      </c>
      <c r="M67" s="520">
        <v>2</v>
      </c>
      <c r="N67" s="613"/>
      <c r="O67" s="207"/>
      <c r="P67" s="211">
        <v>0.1</v>
      </c>
      <c r="Q67" s="200"/>
      <c r="R67" s="200"/>
      <c r="S67" s="209">
        <f>Q66*S66*P67</f>
        <v>2.4800000000000004</v>
      </c>
      <c r="T67" s="209">
        <f>T66*R66*P67</f>
        <v>2.6</v>
      </c>
      <c r="U67" s="209">
        <f>S67+T67</f>
        <v>5.08</v>
      </c>
    </row>
    <row r="68" spans="2:21" s="21" customFormat="1" ht="21.95" customHeight="1">
      <c r="B68" s="585"/>
      <c r="C68" s="586" t="s">
        <v>94</v>
      </c>
      <c r="D68" s="492"/>
      <c r="E68" s="493"/>
      <c r="F68" s="587"/>
      <c r="G68" s="568">
        <f>SUM(G67:G67)</f>
        <v>6360</v>
      </c>
      <c r="H68" s="494"/>
      <c r="I68" s="568">
        <f>SUM(I67:I67)</f>
        <v>420</v>
      </c>
      <c r="J68" s="568">
        <f>SUM(J67:J67)</f>
        <v>6780</v>
      </c>
      <c r="K68" s="588"/>
      <c r="L68" s="492"/>
      <c r="M68" s="520"/>
      <c r="N68" s="589"/>
      <c r="O68" s="26" t="str">
        <f>IF((G68+I68)=J68," ","ผิดพลาด")</f>
        <v xml:space="preserve"> </v>
      </c>
      <c r="P68" s="174">
        <f>0.2*(1+1+0.3+0.3)</f>
        <v>0.51999999999999991</v>
      </c>
      <c r="Q68" s="212">
        <f>(0.045+0.045+0.094+0.094)</f>
        <v>0.27800000000000002</v>
      </c>
      <c r="R68" s="172">
        <v>0.08</v>
      </c>
      <c r="S68" s="174">
        <f>P68+Q68+R68</f>
        <v>0.87799999999999989</v>
      </c>
      <c r="T68" s="213">
        <f>S68*5</f>
        <v>4.3899999999999997</v>
      </c>
      <c r="U68" s="168"/>
    </row>
    <row r="69" spans="2:21" s="21" customFormat="1" ht="21.95" customHeight="1">
      <c r="B69" s="614"/>
      <c r="C69" s="615" t="s">
        <v>217</v>
      </c>
      <c r="D69" s="616"/>
      <c r="E69" s="617"/>
      <c r="F69" s="618"/>
      <c r="G69" s="614"/>
      <c r="H69" s="614"/>
      <c r="I69" s="614"/>
      <c r="J69" s="614"/>
      <c r="K69" s="617"/>
      <c r="L69" s="616"/>
      <c r="M69" s="520"/>
      <c r="N69" s="452"/>
    </row>
    <row r="70" spans="2:21" s="21" customFormat="1" ht="21.95" customHeight="1">
      <c r="B70" s="476"/>
      <c r="C70" s="619" t="s">
        <v>95</v>
      </c>
      <c r="D70" s="620">
        <f>60*11</f>
        <v>660</v>
      </c>
      <c r="E70" s="621" t="s">
        <v>29</v>
      </c>
      <c r="F70" s="622"/>
      <c r="G70" s="622"/>
      <c r="H70" s="622"/>
      <c r="I70" s="622"/>
      <c r="J70" s="622"/>
      <c r="K70" s="480"/>
      <c r="L70" s="620">
        <v>46.5</v>
      </c>
      <c r="M70" s="520">
        <v>2</v>
      </c>
      <c r="N70" s="461"/>
    </row>
    <row r="71" spans="2:21" s="21" customFormat="1" ht="21.95" customHeight="1">
      <c r="B71" s="476"/>
      <c r="C71" s="524" t="s">
        <v>185</v>
      </c>
      <c r="D71" s="620">
        <f>60*11</f>
        <v>660</v>
      </c>
      <c r="E71" s="621" t="s">
        <v>29</v>
      </c>
      <c r="F71" s="622"/>
      <c r="G71" s="622"/>
      <c r="H71" s="622">
        <v>10</v>
      </c>
      <c r="I71" s="622">
        <f>D71*H71</f>
        <v>6600</v>
      </c>
      <c r="J71" s="517">
        <f>+G71+I71</f>
        <v>6600</v>
      </c>
      <c r="K71" s="480"/>
      <c r="L71" s="620"/>
      <c r="M71" s="520"/>
      <c r="N71" s="461"/>
    </row>
    <row r="72" spans="2:21" s="21" customFormat="1" ht="21.95" customHeight="1">
      <c r="B72" s="557"/>
      <c r="C72" s="524" t="s">
        <v>96</v>
      </c>
      <c r="D72" s="620">
        <f>D70*0.1</f>
        <v>66</v>
      </c>
      <c r="E72" s="516" t="s">
        <v>24</v>
      </c>
      <c r="F72" s="517">
        <v>462</v>
      </c>
      <c r="G72" s="517">
        <f>+D72*F72</f>
        <v>30492</v>
      </c>
      <c r="H72" s="518">
        <v>104</v>
      </c>
      <c r="I72" s="517">
        <f>+D72*H72</f>
        <v>6864</v>
      </c>
      <c r="J72" s="517">
        <f>+G72+I72</f>
        <v>37356</v>
      </c>
      <c r="K72" s="480"/>
      <c r="L72" s="515">
        <f>L70*0.1</f>
        <v>4.6500000000000004</v>
      </c>
      <c r="M72" s="520">
        <v>2</v>
      </c>
      <c r="N72" s="461"/>
    </row>
    <row r="73" spans="2:21" s="21" customFormat="1" ht="21.95" customHeight="1">
      <c r="B73" s="476"/>
      <c r="C73" s="514" t="s">
        <v>97</v>
      </c>
      <c r="D73" s="620">
        <f>D70*0.15</f>
        <v>99</v>
      </c>
      <c r="E73" s="516" t="s">
        <v>24</v>
      </c>
      <c r="F73" s="472">
        <v>2210</v>
      </c>
      <c r="G73" s="517">
        <f>+D73*F73</f>
        <v>218790</v>
      </c>
      <c r="H73" s="518">
        <v>466</v>
      </c>
      <c r="I73" s="517">
        <f>+D73*H73</f>
        <v>46134</v>
      </c>
      <c r="J73" s="517">
        <f>+G73+I73</f>
        <v>264924</v>
      </c>
      <c r="K73" s="480"/>
      <c r="L73" s="515">
        <f>L70*0.15</f>
        <v>6.9749999999999996</v>
      </c>
      <c r="M73" s="520">
        <v>2</v>
      </c>
      <c r="N73" s="461"/>
    </row>
    <row r="74" spans="2:21" s="21" customFormat="1" ht="21.95" customHeight="1">
      <c r="B74" s="476"/>
      <c r="C74" s="514" t="s">
        <v>98</v>
      </c>
      <c r="D74" s="620">
        <v>35</v>
      </c>
      <c r="E74" s="529" t="s">
        <v>29</v>
      </c>
      <c r="F74" s="530">
        <v>400</v>
      </c>
      <c r="G74" s="530">
        <f>ROUND(D74*F74,0)</f>
        <v>14000</v>
      </c>
      <c r="H74" s="531">
        <v>0</v>
      </c>
      <c r="I74" s="530">
        <f>ROUND(D74*H74,0)</f>
        <v>0</v>
      </c>
      <c r="J74" s="530">
        <f>G74+I74</f>
        <v>14000</v>
      </c>
      <c r="K74" s="480"/>
      <c r="L74" s="537">
        <f>L75*1</f>
        <v>4.1099999999999994</v>
      </c>
      <c r="M74" s="520">
        <v>2</v>
      </c>
      <c r="N74" s="461"/>
    </row>
    <row r="75" spans="2:21" s="21" customFormat="1" ht="21.95" customHeight="1">
      <c r="B75" s="476"/>
      <c r="C75" s="524" t="s">
        <v>99</v>
      </c>
      <c r="D75" s="620">
        <v>35</v>
      </c>
      <c r="E75" s="529" t="s">
        <v>29</v>
      </c>
      <c r="F75" s="530">
        <v>0</v>
      </c>
      <c r="G75" s="530">
        <f>ROUND(D75*F75,0)</f>
        <v>0</v>
      </c>
      <c r="H75" s="530">
        <v>139</v>
      </c>
      <c r="I75" s="530">
        <f>ROUND(D75*H75,0)</f>
        <v>4865</v>
      </c>
      <c r="J75" s="530">
        <f>G75+I75</f>
        <v>4865</v>
      </c>
      <c r="K75" s="480"/>
      <c r="L75" s="478">
        <f>27.4*0.15</f>
        <v>4.1099999999999994</v>
      </c>
      <c r="M75" s="520">
        <v>2</v>
      </c>
      <c r="N75" s="461"/>
    </row>
    <row r="76" spans="2:21" s="21" customFormat="1" ht="21.95" customHeight="1">
      <c r="B76" s="476"/>
      <c r="C76" s="524" t="s">
        <v>100</v>
      </c>
      <c r="D76" s="620">
        <v>12</v>
      </c>
      <c r="E76" s="529" t="s">
        <v>38</v>
      </c>
      <c r="F76" s="530">
        <v>150</v>
      </c>
      <c r="G76" s="530">
        <f>ROUND(D76*F76,0)</f>
        <v>1800</v>
      </c>
      <c r="H76" s="530">
        <v>0</v>
      </c>
      <c r="I76" s="530">
        <f>ROUND(D76*H76,0)</f>
        <v>0</v>
      </c>
      <c r="J76" s="530">
        <f>G76+I76</f>
        <v>1800</v>
      </c>
      <c r="K76" s="480"/>
      <c r="L76" s="478">
        <f>L74*0.3</f>
        <v>1.2329999999999999</v>
      </c>
      <c r="M76" s="520">
        <v>2</v>
      </c>
      <c r="N76" s="461"/>
    </row>
    <row r="77" spans="2:21" s="21" customFormat="1" ht="21.95" customHeight="1">
      <c r="B77" s="476"/>
      <c r="C77" s="524" t="s">
        <v>39</v>
      </c>
      <c r="D77" s="620">
        <v>8</v>
      </c>
      <c r="E77" s="484" t="s">
        <v>40</v>
      </c>
      <c r="F77" s="467">
        <v>48</v>
      </c>
      <c r="G77" s="467">
        <f>D77*F77</f>
        <v>384</v>
      </c>
      <c r="H77" s="467">
        <v>0</v>
      </c>
      <c r="I77" s="467">
        <f>D77*H77</f>
        <v>0</v>
      </c>
      <c r="J77" s="467">
        <f>G77+I77</f>
        <v>384</v>
      </c>
      <c r="K77" s="480"/>
      <c r="L77" s="537">
        <f>L75*0.25</f>
        <v>1.0274999999999999</v>
      </c>
      <c r="M77" s="520">
        <v>2</v>
      </c>
      <c r="N77" s="461"/>
    </row>
    <row r="78" spans="2:21" s="21" customFormat="1" ht="21.95" customHeight="1">
      <c r="B78" s="557"/>
      <c r="C78" s="623" t="s">
        <v>153</v>
      </c>
      <c r="D78" s="620">
        <v>660</v>
      </c>
      <c r="E78" s="529" t="s">
        <v>29</v>
      </c>
      <c r="F78" s="530">
        <v>36</v>
      </c>
      <c r="G78" s="530">
        <f>ROUND(D78*F78,0)</f>
        <v>23760</v>
      </c>
      <c r="H78" s="530">
        <v>5</v>
      </c>
      <c r="I78" s="530">
        <f>ROUND(D78*H78,0)</f>
        <v>3300</v>
      </c>
      <c r="J78" s="530">
        <f>G78+I78</f>
        <v>27060</v>
      </c>
      <c r="K78" s="480"/>
      <c r="L78" s="537">
        <f>L70</f>
        <v>46.5</v>
      </c>
      <c r="M78" s="520">
        <v>2</v>
      </c>
      <c r="N78" s="461"/>
      <c r="O78" s="21" t="s">
        <v>101</v>
      </c>
    </row>
    <row r="79" spans="2:21" s="21" customFormat="1" ht="21.95" customHeight="1">
      <c r="B79" s="624"/>
      <c r="C79" s="625" t="s">
        <v>187</v>
      </c>
      <c r="D79" s="626">
        <v>241</v>
      </c>
      <c r="E79" s="627" t="s">
        <v>188</v>
      </c>
      <c r="F79" s="628">
        <v>35</v>
      </c>
      <c r="G79" s="629">
        <f>F79*D79</f>
        <v>8435</v>
      </c>
      <c r="H79" s="630">
        <v>15</v>
      </c>
      <c r="I79" s="629">
        <f>(H79*D79)</f>
        <v>3615</v>
      </c>
      <c r="J79" s="629">
        <f>I79+G79</f>
        <v>12050</v>
      </c>
      <c r="K79" s="480"/>
      <c r="L79" s="631"/>
      <c r="M79" s="520"/>
      <c r="N79" s="461"/>
    </row>
    <row r="80" spans="2:21" s="21" customFormat="1" ht="21.95" customHeight="1">
      <c r="B80" s="557"/>
      <c r="C80" s="514" t="s">
        <v>186</v>
      </c>
      <c r="D80" s="515">
        <v>227</v>
      </c>
      <c r="E80" s="516" t="s">
        <v>40</v>
      </c>
      <c r="F80" s="549">
        <v>22.46</v>
      </c>
      <c r="G80" s="517">
        <f>+D80*F80</f>
        <v>5098.42</v>
      </c>
      <c r="H80" s="472">
        <v>3.2</v>
      </c>
      <c r="I80" s="517">
        <f>+D80*H80</f>
        <v>726.40000000000009</v>
      </c>
      <c r="J80" s="517">
        <f>+G80+I80</f>
        <v>5824.82</v>
      </c>
      <c r="K80" s="563"/>
      <c r="L80" s="461"/>
      <c r="M80" s="461"/>
      <c r="N80" s="461"/>
    </row>
    <row r="81" spans="2:21" s="21" customFormat="1" ht="21.95" customHeight="1">
      <c r="B81" s="476"/>
      <c r="C81" s="565"/>
      <c r="D81" s="483"/>
      <c r="E81" s="484"/>
      <c r="F81" s="467"/>
      <c r="G81" s="467"/>
      <c r="H81" s="485"/>
      <c r="I81" s="467"/>
      <c r="J81" s="467"/>
      <c r="K81" s="484"/>
      <c r="L81" s="487"/>
      <c r="M81" s="487"/>
      <c r="N81" s="487"/>
    </row>
    <row r="82" spans="2:21" s="21" customFormat="1" ht="21.95" customHeight="1">
      <c r="B82" s="476"/>
      <c r="C82" s="565"/>
      <c r="D82" s="483"/>
      <c r="E82" s="484"/>
      <c r="F82" s="467"/>
      <c r="G82" s="467"/>
      <c r="H82" s="485"/>
      <c r="I82" s="467"/>
      <c r="J82" s="467"/>
      <c r="K82" s="484"/>
      <c r="L82" s="487"/>
      <c r="M82" s="487"/>
      <c r="N82" s="487"/>
    </row>
    <row r="83" spans="2:21" s="21" customFormat="1" ht="21.95" customHeight="1">
      <c r="B83" s="476"/>
      <c r="C83" s="565"/>
      <c r="D83" s="483"/>
      <c r="E83" s="484"/>
      <c r="F83" s="467"/>
      <c r="G83" s="467"/>
      <c r="H83" s="485"/>
      <c r="I83" s="467"/>
      <c r="J83" s="467"/>
      <c r="K83" s="484"/>
      <c r="L83" s="487"/>
      <c r="M83" s="487"/>
      <c r="N83" s="487"/>
    </row>
    <row r="84" spans="2:21" s="21" customFormat="1" ht="21.95" customHeight="1">
      <c r="B84" s="476"/>
      <c r="C84" s="565"/>
      <c r="D84" s="483"/>
      <c r="E84" s="484"/>
      <c r="F84" s="467"/>
      <c r="G84" s="467"/>
      <c r="H84" s="485"/>
      <c r="I84" s="467"/>
      <c r="J84" s="467"/>
      <c r="K84" s="484"/>
      <c r="L84" s="487"/>
      <c r="M84" s="487"/>
      <c r="N84" s="487"/>
    </row>
    <row r="85" spans="2:21" s="21" customFormat="1" ht="21.95" customHeight="1">
      <c r="B85" s="476"/>
      <c r="C85" s="565"/>
      <c r="D85" s="483"/>
      <c r="E85" s="484"/>
      <c r="F85" s="467"/>
      <c r="G85" s="467"/>
      <c r="H85" s="485"/>
      <c r="I85" s="467"/>
      <c r="J85" s="467"/>
      <c r="K85" s="484"/>
      <c r="L85" s="487"/>
      <c r="M85" s="487"/>
      <c r="N85" s="487"/>
    </row>
    <row r="86" spans="2:21" s="21" customFormat="1" ht="21.95" customHeight="1">
      <c r="B86" s="476"/>
      <c r="C86" s="565"/>
      <c r="D86" s="483"/>
      <c r="E86" s="484"/>
      <c r="F86" s="467"/>
      <c r="G86" s="467"/>
      <c r="H86" s="485"/>
      <c r="I86" s="467"/>
      <c r="J86" s="467"/>
      <c r="K86" s="484"/>
      <c r="L86" s="487"/>
      <c r="M86" s="487"/>
      <c r="N86" s="487"/>
    </row>
    <row r="87" spans="2:21" s="21" customFormat="1" ht="21.95" customHeight="1">
      <c r="B87" s="476"/>
      <c r="C87" s="565"/>
      <c r="D87" s="483"/>
      <c r="E87" s="484"/>
      <c r="F87" s="467"/>
      <c r="G87" s="467"/>
      <c r="H87" s="485"/>
      <c r="I87" s="467"/>
      <c r="J87" s="467"/>
      <c r="K87" s="484"/>
      <c r="L87" s="487"/>
      <c r="M87" s="487"/>
      <c r="N87" s="487"/>
    </row>
    <row r="88" spans="2:21" s="21" customFormat="1" ht="21.95" customHeight="1">
      <c r="B88" s="476"/>
      <c r="C88" s="565"/>
      <c r="D88" s="483"/>
      <c r="E88" s="484"/>
      <c r="F88" s="467"/>
      <c r="G88" s="467"/>
      <c r="H88" s="485"/>
      <c r="I88" s="467"/>
      <c r="J88" s="467"/>
      <c r="K88" s="484"/>
      <c r="L88" s="487"/>
      <c r="M88" s="487"/>
      <c r="N88" s="487"/>
    </row>
    <row r="89" spans="2:21" s="21" customFormat="1" ht="21.95" customHeight="1">
      <c r="B89" s="476"/>
      <c r="C89" s="565"/>
      <c r="D89" s="483"/>
      <c r="E89" s="484"/>
      <c r="F89" s="467"/>
      <c r="G89" s="467"/>
      <c r="H89" s="485"/>
      <c r="I89" s="467"/>
      <c r="J89" s="467"/>
      <c r="K89" s="484"/>
      <c r="L89" s="487"/>
      <c r="M89" s="487"/>
      <c r="N89" s="487"/>
    </row>
    <row r="90" spans="2:21" s="21" customFormat="1" ht="21.95" customHeight="1">
      <c r="B90" s="632"/>
      <c r="C90" s="633"/>
      <c r="D90" s="634"/>
      <c r="E90" s="635"/>
      <c r="F90" s="636"/>
      <c r="G90" s="636"/>
      <c r="H90" s="637"/>
      <c r="I90" s="636"/>
      <c r="J90" s="636"/>
      <c r="K90" s="635"/>
      <c r="L90" s="487"/>
      <c r="M90" s="487"/>
      <c r="N90" s="487"/>
    </row>
    <row r="91" spans="2:21" s="21" customFormat="1" ht="21.95" customHeight="1">
      <c r="B91" s="490"/>
      <c r="C91" s="491" t="s">
        <v>102</v>
      </c>
      <c r="D91" s="492">
        <v>1</v>
      </c>
      <c r="E91" s="493" t="s">
        <v>103</v>
      </c>
      <c r="F91" s="494"/>
      <c r="G91" s="495">
        <f>SUM(G70:G81)</f>
        <v>302759.42</v>
      </c>
      <c r="H91" s="494"/>
      <c r="I91" s="495">
        <f>SUM(I70:I81)</f>
        <v>72104.399999999994</v>
      </c>
      <c r="J91" s="495">
        <f>SUM(J70:J81)</f>
        <v>374863.82</v>
      </c>
      <c r="K91" s="496"/>
      <c r="L91" s="497"/>
      <c r="M91" s="497"/>
      <c r="N91" s="497"/>
      <c r="O91" s="26" t="str">
        <f>IF((G91+I91)=J91," ","ผิดพลาด")</f>
        <v xml:space="preserve"> </v>
      </c>
    </row>
    <row r="92" spans="2:21" s="21" customFormat="1" ht="21.95" customHeight="1">
      <c r="B92" s="638"/>
      <c r="C92" s="639" t="s">
        <v>210</v>
      </c>
      <c r="D92" s="640"/>
      <c r="E92" s="641"/>
      <c r="F92" s="642"/>
      <c r="G92" s="638"/>
      <c r="H92" s="638"/>
      <c r="I92" s="638"/>
      <c r="J92" s="638"/>
      <c r="K92" s="641"/>
      <c r="L92" s="643"/>
      <c r="M92" s="644"/>
      <c r="N92" s="645"/>
      <c r="O92" s="355"/>
      <c r="P92" s="356"/>
      <c r="Q92" s="357"/>
      <c r="R92" s="358"/>
      <c r="S92" s="356"/>
      <c r="T92" s="359"/>
      <c r="U92" s="360"/>
    </row>
    <row r="93" spans="2:21" s="21" customFormat="1" ht="21.95" customHeight="1">
      <c r="B93" s="646"/>
      <c r="C93" s="455" t="s">
        <v>197</v>
      </c>
      <c r="D93" s="620">
        <v>1</v>
      </c>
      <c r="E93" s="621" t="s">
        <v>19</v>
      </c>
      <c r="F93" s="622">
        <v>2180</v>
      </c>
      <c r="G93" s="576">
        <f>+D93*F93</f>
        <v>2180</v>
      </c>
      <c r="H93" s="622">
        <v>900</v>
      </c>
      <c r="I93" s="576">
        <f>+D93*H93</f>
        <v>900</v>
      </c>
      <c r="J93" s="576">
        <f>+G93+I93</f>
        <v>3080</v>
      </c>
      <c r="K93" s="460"/>
      <c r="L93" s="643"/>
      <c r="M93" s="644"/>
      <c r="N93" s="645"/>
      <c r="O93" s="355"/>
      <c r="P93" s="356"/>
      <c r="Q93" s="357"/>
      <c r="R93" s="358"/>
      <c r="S93" s="356"/>
      <c r="T93" s="359"/>
      <c r="U93" s="360"/>
    </row>
    <row r="94" spans="2:21" s="21" customFormat="1" ht="21.95" customHeight="1">
      <c r="B94" s="647"/>
      <c r="C94" s="524" t="s">
        <v>198</v>
      </c>
      <c r="D94" s="620">
        <v>10</v>
      </c>
      <c r="E94" s="621" t="s">
        <v>19</v>
      </c>
      <c r="F94" s="576">
        <v>250</v>
      </c>
      <c r="G94" s="576">
        <f>+D94*F94</f>
        <v>2500</v>
      </c>
      <c r="H94" s="582">
        <v>135</v>
      </c>
      <c r="I94" s="576">
        <f>+D94*H94</f>
        <v>1350</v>
      </c>
      <c r="J94" s="576">
        <f>+G94+I94</f>
        <v>3850</v>
      </c>
      <c r="K94" s="460"/>
      <c r="L94" s="643"/>
      <c r="M94" s="644"/>
      <c r="N94" s="645"/>
      <c r="O94" s="355"/>
      <c r="P94" s="356"/>
      <c r="Q94" s="357"/>
      <c r="R94" s="358"/>
      <c r="S94" s="356"/>
      <c r="T94" s="359"/>
      <c r="U94" s="360"/>
    </row>
    <row r="95" spans="2:21" s="21" customFormat="1" ht="21.95" customHeight="1">
      <c r="B95" s="646"/>
      <c r="C95" s="514" t="s">
        <v>199</v>
      </c>
      <c r="D95" s="620">
        <v>10</v>
      </c>
      <c r="E95" s="621" t="s">
        <v>19</v>
      </c>
      <c r="F95" s="648">
        <v>200</v>
      </c>
      <c r="G95" s="576">
        <f>+D95*F95</f>
        <v>2000</v>
      </c>
      <c r="H95" s="582">
        <v>80</v>
      </c>
      <c r="I95" s="576">
        <f>+D95*H95</f>
        <v>800</v>
      </c>
      <c r="J95" s="576">
        <f>+G95+I95</f>
        <v>2800</v>
      </c>
      <c r="K95" s="460"/>
      <c r="L95" s="643"/>
      <c r="M95" s="644"/>
      <c r="N95" s="645"/>
      <c r="O95" s="355"/>
      <c r="P95" s="356"/>
      <c r="Q95" s="357"/>
      <c r="R95" s="358"/>
      <c r="S95" s="356"/>
      <c r="T95" s="359"/>
      <c r="U95" s="360"/>
    </row>
    <row r="96" spans="2:21" s="21" customFormat="1" ht="21.95" customHeight="1">
      <c r="B96" s="646"/>
      <c r="C96" s="514" t="s">
        <v>200</v>
      </c>
      <c r="D96" s="620">
        <v>2</v>
      </c>
      <c r="E96" s="621" t="s">
        <v>19</v>
      </c>
      <c r="F96" s="648">
        <v>245</v>
      </c>
      <c r="G96" s="576">
        <f>+D96*F96</f>
        <v>490</v>
      </c>
      <c r="H96" s="582">
        <v>90</v>
      </c>
      <c r="I96" s="576">
        <f>+D96*H96</f>
        <v>180</v>
      </c>
      <c r="J96" s="576">
        <f>+G96+I96</f>
        <v>670</v>
      </c>
      <c r="K96" s="460"/>
      <c r="L96" s="643"/>
      <c r="M96" s="644"/>
      <c r="N96" s="645"/>
      <c r="O96" s="355"/>
      <c r="P96" s="356"/>
      <c r="Q96" s="357"/>
      <c r="R96" s="358"/>
      <c r="S96" s="356"/>
      <c r="T96" s="359"/>
      <c r="U96" s="360"/>
    </row>
    <row r="97" spans="2:21" s="21" customFormat="1" ht="21.95" customHeight="1">
      <c r="B97" s="646"/>
      <c r="C97" s="514" t="s">
        <v>201</v>
      </c>
      <c r="D97" s="620">
        <v>2</v>
      </c>
      <c r="E97" s="621" t="s">
        <v>19</v>
      </c>
      <c r="F97" s="648">
        <v>250</v>
      </c>
      <c r="G97" s="576">
        <f>+D97*F97</f>
        <v>500</v>
      </c>
      <c r="H97" s="582">
        <v>80</v>
      </c>
      <c r="I97" s="576">
        <f>+D97*H97</f>
        <v>160</v>
      </c>
      <c r="J97" s="576">
        <f>+G97+I97</f>
        <v>660</v>
      </c>
      <c r="K97" s="460"/>
      <c r="L97" s="643"/>
      <c r="M97" s="644"/>
      <c r="N97" s="645"/>
      <c r="O97" s="355"/>
      <c r="P97" s="356"/>
      <c r="Q97" s="357"/>
      <c r="R97" s="358"/>
      <c r="S97" s="356"/>
      <c r="T97" s="359"/>
      <c r="U97" s="360"/>
    </row>
    <row r="98" spans="2:21" s="21" customFormat="1" ht="21.95" customHeight="1">
      <c r="B98" s="646"/>
      <c r="C98" s="514" t="s">
        <v>202</v>
      </c>
      <c r="D98" s="620">
        <v>16</v>
      </c>
      <c r="E98" s="649" t="s">
        <v>191</v>
      </c>
      <c r="F98" s="650">
        <v>75</v>
      </c>
      <c r="G98" s="650">
        <f>ROUND(D98*F98,0)</f>
        <v>1200</v>
      </c>
      <c r="H98" s="651">
        <v>0</v>
      </c>
      <c r="I98" s="650">
        <f>ROUND(D98*H98,0)</f>
        <v>0</v>
      </c>
      <c r="J98" s="650">
        <f>G98+I98</f>
        <v>1200</v>
      </c>
      <c r="K98" s="460"/>
      <c r="L98" s="643"/>
      <c r="M98" s="644"/>
      <c r="N98" s="645"/>
      <c r="O98" s="355"/>
      <c r="P98" s="356"/>
      <c r="Q98" s="357"/>
      <c r="R98" s="358"/>
      <c r="S98" s="356"/>
      <c r="T98" s="359"/>
      <c r="U98" s="360"/>
    </row>
    <row r="99" spans="2:21" s="21" customFormat="1" ht="21.95" customHeight="1">
      <c r="B99" s="646"/>
      <c r="C99" s="524" t="s">
        <v>203</v>
      </c>
      <c r="D99" s="652">
        <v>330</v>
      </c>
      <c r="E99" s="652" t="s">
        <v>188</v>
      </c>
      <c r="F99" s="653">
        <v>35</v>
      </c>
      <c r="G99" s="654">
        <f>F99*D99</f>
        <v>11550</v>
      </c>
      <c r="H99" s="655">
        <v>5</v>
      </c>
      <c r="I99" s="654">
        <f>(H99*D99)</f>
        <v>1650</v>
      </c>
      <c r="J99" s="654">
        <f>I99+G99</f>
        <v>13200</v>
      </c>
      <c r="K99" s="460" t="s">
        <v>204</v>
      </c>
      <c r="L99" s="643"/>
      <c r="M99" s="644"/>
      <c r="N99" s="645"/>
      <c r="O99" s="355"/>
      <c r="P99" s="356"/>
      <c r="Q99" s="357"/>
      <c r="R99" s="358"/>
      <c r="S99" s="356"/>
      <c r="T99" s="359"/>
      <c r="U99" s="360"/>
    </row>
    <row r="100" spans="2:21" s="21" customFormat="1" ht="21.95" customHeight="1">
      <c r="B100" s="646"/>
      <c r="C100" s="524" t="s">
        <v>205</v>
      </c>
      <c r="D100" s="620"/>
      <c r="E100" s="649"/>
      <c r="F100" s="650"/>
      <c r="G100" s="650"/>
      <c r="H100" s="650"/>
      <c r="I100" s="650"/>
      <c r="J100" s="650"/>
      <c r="K100" s="460"/>
      <c r="L100" s="643"/>
      <c r="M100" s="644"/>
      <c r="N100" s="645"/>
      <c r="O100" s="355"/>
      <c r="P100" s="356"/>
      <c r="Q100" s="357"/>
      <c r="R100" s="358"/>
      <c r="S100" s="356"/>
      <c r="T100" s="359"/>
      <c r="U100" s="360"/>
    </row>
    <row r="101" spans="2:21" s="21" customFormat="1" ht="21.95" customHeight="1">
      <c r="B101" s="646"/>
      <c r="C101" s="524" t="s">
        <v>206</v>
      </c>
      <c r="D101" s="620">
        <v>1</v>
      </c>
      <c r="E101" s="656" t="s">
        <v>207</v>
      </c>
      <c r="F101" s="657">
        <v>750</v>
      </c>
      <c r="G101" s="657">
        <f>D101*F101</f>
        <v>750</v>
      </c>
      <c r="H101" s="657">
        <v>0</v>
      </c>
      <c r="I101" s="657">
        <f>D101*H101</f>
        <v>0</v>
      </c>
      <c r="J101" s="657">
        <f>G101+I101</f>
        <v>750</v>
      </c>
      <c r="K101" s="460"/>
      <c r="L101" s="643"/>
      <c r="M101" s="644"/>
      <c r="N101" s="645"/>
      <c r="O101" s="355"/>
      <c r="P101" s="356"/>
      <c r="Q101" s="357"/>
      <c r="R101" s="358"/>
      <c r="S101" s="356"/>
      <c r="T101" s="359"/>
      <c r="U101" s="360"/>
    </row>
    <row r="102" spans="2:21" s="21" customFormat="1" ht="21.95" customHeight="1">
      <c r="B102" s="646"/>
      <c r="C102" s="524" t="s">
        <v>208</v>
      </c>
      <c r="D102" s="620">
        <v>1</v>
      </c>
      <c r="E102" s="656" t="s">
        <v>207</v>
      </c>
      <c r="F102" s="657">
        <v>2500</v>
      </c>
      <c r="G102" s="657">
        <f>D102*F102</f>
        <v>2500</v>
      </c>
      <c r="H102" s="657">
        <v>0</v>
      </c>
      <c r="I102" s="657">
        <f>D102*H102</f>
        <v>0</v>
      </c>
      <c r="J102" s="657">
        <f>G102+I102</f>
        <v>2500</v>
      </c>
      <c r="K102" s="460"/>
      <c r="L102" s="643"/>
      <c r="M102" s="644"/>
      <c r="N102" s="645"/>
      <c r="O102" s="355"/>
      <c r="P102" s="356"/>
      <c r="Q102" s="357"/>
      <c r="R102" s="358"/>
      <c r="S102" s="356"/>
      <c r="T102" s="359"/>
      <c r="U102" s="360"/>
    </row>
    <row r="103" spans="2:21" s="21" customFormat="1" ht="21.95" customHeight="1">
      <c r="B103" s="647"/>
      <c r="C103" s="658"/>
      <c r="D103" s="620"/>
      <c r="E103" s="649"/>
      <c r="F103" s="650"/>
      <c r="G103" s="650"/>
      <c r="H103" s="650"/>
      <c r="I103" s="650"/>
      <c r="J103" s="650"/>
      <c r="K103" s="480"/>
      <c r="L103" s="643"/>
      <c r="M103" s="644"/>
      <c r="N103" s="645"/>
      <c r="O103" s="355"/>
      <c r="P103" s="356"/>
      <c r="Q103" s="357"/>
      <c r="R103" s="358"/>
      <c r="S103" s="356"/>
      <c r="T103" s="359"/>
      <c r="U103" s="360"/>
    </row>
    <row r="104" spans="2:21" s="21" customFormat="1" ht="21.95" customHeight="1">
      <c r="B104" s="659"/>
      <c r="C104" s="660" t="s">
        <v>209</v>
      </c>
      <c r="D104" s="492">
        <v>1</v>
      </c>
      <c r="E104" s="566" t="s">
        <v>103</v>
      </c>
      <c r="F104" s="661"/>
      <c r="G104" s="662">
        <f>SUM(G93:G103)</f>
        <v>23670</v>
      </c>
      <c r="H104" s="661"/>
      <c r="I104" s="662">
        <f>SUM(I93:I103)</f>
        <v>5040</v>
      </c>
      <c r="J104" s="662">
        <f>SUM(J93:J103)</f>
        <v>28710</v>
      </c>
      <c r="K104" s="663" t="s">
        <v>13</v>
      </c>
      <c r="L104" s="643"/>
      <c r="M104" s="644"/>
      <c r="N104" s="645"/>
      <c r="O104" s="355"/>
      <c r="P104" s="356"/>
      <c r="Q104" s="357"/>
      <c r="R104" s="358"/>
      <c r="S104" s="356"/>
      <c r="T104" s="359"/>
      <c r="U104" s="360"/>
    </row>
    <row r="105" spans="2:21" s="21" customFormat="1" ht="21.95" customHeight="1">
      <c r="B105" s="638"/>
      <c r="C105" s="639" t="s">
        <v>211</v>
      </c>
      <c r="D105" s="640"/>
      <c r="E105" s="641"/>
      <c r="F105" s="642"/>
      <c r="G105" s="638"/>
      <c r="H105" s="638"/>
      <c r="I105" s="638"/>
      <c r="J105" s="638"/>
      <c r="K105" s="641"/>
      <c r="L105" s="640"/>
      <c r="M105" s="644"/>
      <c r="N105" s="664"/>
    </row>
    <row r="106" spans="2:21" s="21" customFormat="1" ht="21.95" customHeight="1">
      <c r="B106" s="646"/>
      <c r="C106" s="455" t="s">
        <v>190</v>
      </c>
      <c r="D106" s="620">
        <v>20</v>
      </c>
      <c r="E106" s="621" t="s">
        <v>191</v>
      </c>
      <c r="F106" s="622">
        <v>434</v>
      </c>
      <c r="G106" s="576">
        <f>D106*F106</f>
        <v>8680</v>
      </c>
      <c r="H106" s="622">
        <v>70</v>
      </c>
      <c r="I106" s="622">
        <f>D106*H106</f>
        <v>1400</v>
      </c>
      <c r="J106" s="576">
        <f>G106+I106</f>
        <v>10080</v>
      </c>
      <c r="K106" s="460"/>
      <c r="L106" s="620">
        <v>46.5</v>
      </c>
      <c r="M106" s="644">
        <v>2</v>
      </c>
      <c r="N106" s="665"/>
    </row>
    <row r="107" spans="2:21" s="21" customFormat="1" ht="21.95" customHeight="1">
      <c r="B107" s="647"/>
      <c r="C107" s="524" t="s">
        <v>192</v>
      </c>
      <c r="D107" s="620">
        <v>40</v>
      </c>
      <c r="E107" s="516" t="s">
        <v>193</v>
      </c>
      <c r="F107" s="576">
        <v>58</v>
      </c>
      <c r="G107" s="576">
        <f>D107*F107</f>
        <v>2320</v>
      </c>
      <c r="H107" s="582"/>
      <c r="I107" s="622"/>
      <c r="J107" s="576">
        <f>G107+I107</f>
        <v>2320</v>
      </c>
      <c r="K107" s="460"/>
      <c r="L107" s="666">
        <f>L106*0.1</f>
        <v>4.6500000000000004</v>
      </c>
      <c r="M107" s="644">
        <v>2</v>
      </c>
      <c r="N107" s="665"/>
    </row>
    <row r="108" spans="2:21" s="21" customFormat="1" ht="21.95" customHeight="1">
      <c r="B108" s="646"/>
      <c r="C108" s="524" t="s">
        <v>215</v>
      </c>
      <c r="D108" s="620">
        <v>1</v>
      </c>
      <c r="E108" s="516" t="s">
        <v>214</v>
      </c>
      <c r="F108" s="648">
        <v>13500</v>
      </c>
      <c r="G108" s="576">
        <f>D108*F108</f>
        <v>13500</v>
      </c>
      <c r="H108" s="582"/>
      <c r="I108" s="622"/>
      <c r="J108" s="576">
        <f>G108+I108</f>
        <v>13500</v>
      </c>
      <c r="K108" s="460"/>
      <c r="L108" s="666">
        <f>L106*0.15</f>
        <v>6.9749999999999996</v>
      </c>
      <c r="M108" s="644">
        <v>2</v>
      </c>
      <c r="N108" s="665"/>
    </row>
    <row r="109" spans="2:21" s="21" customFormat="1" ht="21.95" customHeight="1">
      <c r="B109" s="646"/>
      <c r="C109" s="524" t="s">
        <v>216</v>
      </c>
      <c r="D109" s="620">
        <v>125</v>
      </c>
      <c r="E109" s="656" t="s">
        <v>24</v>
      </c>
      <c r="F109" s="657">
        <v>85</v>
      </c>
      <c r="G109" s="576">
        <f>D109*F109</f>
        <v>10625</v>
      </c>
      <c r="H109" s="657">
        <v>23</v>
      </c>
      <c r="I109" s="622">
        <f t="shared" ref="I109" si="2">D109*H109</f>
        <v>2875</v>
      </c>
      <c r="J109" s="576">
        <f>G109+I109</f>
        <v>13500</v>
      </c>
      <c r="K109" s="460"/>
      <c r="L109" s="626" t="e">
        <f>#REF!*0.25</f>
        <v>#REF!</v>
      </c>
      <c r="M109" s="644">
        <v>2</v>
      </c>
      <c r="N109" s="665"/>
    </row>
    <row r="110" spans="2:21" s="21" customFormat="1" ht="21.95" customHeight="1">
      <c r="B110" s="647"/>
      <c r="C110" s="658"/>
      <c r="D110" s="620"/>
      <c r="E110" s="649"/>
      <c r="F110" s="650"/>
      <c r="G110" s="650"/>
      <c r="H110" s="650"/>
      <c r="I110" s="650"/>
      <c r="J110" s="650"/>
      <c r="K110" s="460"/>
      <c r="L110" s="626">
        <f>L106</f>
        <v>46.5</v>
      </c>
      <c r="M110" s="644">
        <v>2</v>
      </c>
      <c r="N110" s="665"/>
      <c r="O110" s="21" t="s">
        <v>101</v>
      </c>
    </row>
    <row r="111" spans="2:21" s="21" customFormat="1" ht="21.95" customHeight="1">
      <c r="B111" s="624"/>
      <c r="C111" s="667"/>
      <c r="D111" s="626"/>
      <c r="E111" s="656"/>
      <c r="F111" s="668"/>
      <c r="G111" s="657"/>
      <c r="H111" s="657"/>
      <c r="I111" s="657"/>
      <c r="J111" s="657"/>
      <c r="K111" s="480"/>
      <c r="L111" s="665"/>
      <c r="M111" s="665"/>
      <c r="N111" s="665"/>
    </row>
    <row r="112" spans="2:21" s="21" customFormat="1" ht="21.95" customHeight="1">
      <c r="B112" s="646"/>
      <c r="C112" s="667"/>
      <c r="D112" s="669"/>
      <c r="E112" s="656"/>
      <c r="F112" s="657"/>
      <c r="G112" s="657"/>
      <c r="H112" s="670"/>
      <c r="I112" s="657"/>
      <c r="J112" s="657"/>
      <c r="K112" s="671"/>
      <c r="L112" s="488"/>
      <c r="M112" s="488"/>
      <c r="N112" s="488"/>
    </row>
    <row r="113" spans="2:15" s="21" customFormat="1" ht="21.95" customHeight="1">
      <c r="B113" s="672"/>
      <c r="C113" s="673" t="s">
        <v>194</v>
      </c>
      <c r="D113" s="492">
        <v>1</v>
      </c>
      <c r="E113" s="566" t="s">
        <v>103</v>
      </c>
      <c r="F113" s="661"/>
      <c r="G113" s="662">
        <f>SUM(G106:G112)</f>
        <v>35125</v>
      </c>
      <c r="H113" s="661"/>
      <c r="I113" s="662">
        <f>SUM(I106:I112)</f>
        <v>4275</v>
      </c>
      <c r="J113" s="662">
        <f>SUM(J106:J112)</f>
        <v>39400</v>
      </c>
      <c r="K113" s="663" t="s">
        <v>13</v>
      </c>
      <c r="L113" s="674"/>
      <c r="M113" s="674"/>
      <c r="N113" s="674"/>
      <c r="O113" s="355" t="str">
        <f>IF((G113+I113)=J113," ","ผิดพลาด")</f>
        <v xml:space="preserve"> </v>
      </c>
    </row>
    <row r="137" spans="3:15" ht="68.25" customHeight="1">
      <c r="C137" s="675" t="s">
        <v>224</v>
      </c>
      <c r="D137" s="221"/>
      <c r="E137" s="222" t="s">
        <v>105</v>
      </c>
      <c r="F137" s="223"/>
      <c r="G137" s="676" t="s">
        <v>106</v>
      </c>
      <c r="H137" s="677"/>
      <c r="I137" s="223"/>
      <c r="J137" s="223"/>
      <c r="K137" s="226"/>
      <c r="L137" s="231"/>
      <c r="M137" s="231"/>
      <c r="N137" s="231"/>
    </row>
    <row r="138" spans="3:15" ht="28.5" customHeight="1">
      <c r="C138" s="678" t="s">
        <v>107</v>
      </c>
      <c r="D138" s="679"/>
      <c r="E138" s="230">
        <f>10.81/6</f>
        <v>1.8016666666666667</v>
      </c>
      <c r="F138" s="231"/>
      <c r="G138" s="680">
        <v>242.5</v>
      </c>
      <c r="H138" s="231"/>
      <c r="I138" s="233">
        <f>G138*7%</f>
        <v>16.975000000000001</v>
      </c>
      <c r="J138" s="234">
        <f>G138+I138</f>
        <v>259.47500000000002</v>
      </c>
      <c r="K138" s="235"/>
      <c r="L138" s="231"/>
      <c r="M138" s="231"/>
      <c r="N138" s="231"/>
      <c r="O138" s="233">
        <f>J138/10.8</f>
        <v>24.025462962962962</v>
      </c>
    </row>
    <row r="139" spans="3:15" ht="30" customHeight="1">
      <c r="C139" s="678" t="s">
        <v>108</v>
      </c>
      <c r="D139" s="681"/>
      <c r="E139" s="230">
        <f>27.16/6</f>
        <v>4.5266666666666664</v>
      </c>
      <c r="F139" s="231"/>
      <c r="G139" s="678">
        <v>606.52</v>
      </c>
      <c r="H139" s="231"/>
      <c r="I139" s="233">
        <f>G139*7%</f>
        <v>42.456400000000002</v>
      </c>
      <c r="J139" s="234">
        <f>G139+I139</f>
        <v>648.97640000000001</v>
      </c>
      <c r="K139" s="235"/>
      <c r="L139" s="231"/>
      <c r="M139" s="231"/>
      <c r="N139" s="231"/>
      <c r="O139" s="233">
        <f>J139/27.16</f>
        <v>23.894565537555227</v>
      </c>
    </row>
    <row r="140" spans="3:15" ht="25.5" customHeight="1">
      <c r="C140" s="678" t="s">
        <v>109</v>
      </c>
      <c r="D140" s="682"/>
      <c r="E140" s="238">
        <f>46.62/6</f>
        <v>7.77</v>
      </c>
      <c r="F140" s="239"/>
      <c r="G140" s="683">
        <v>1042.8499999999999</v>
      </c>
      <c r="H140" s="239"/>
      <c r="I140" s="233">
        <f>G140*7%</f>
        <v>72.999499999999998</v>
      </c>
      <c r="J140" s="234">
        <f>G140+I140</f>
        <v>1115.8494999999998</v>
      </c>
      <c r="K140" s="241"/>
      <c r="L140" s="231"/>
      <c r="M140" s="231"/>
      <c r="N140" s="231"/>
      <c r="O140" s="233">
        <f>J140/46.72</f>
        <v>23.883764982876709</v>
      </c>
    </row>
    <row r="141" spans="3:15" ht="21.95" customHeight="1">
      <c r="C141" s="684" t="s">
        <v>110</v>
      </c>
      <c r="E141" s="244">
        <f>40.3/6</f>
        <v>6.7166666666666659</v>
      </c>
      <c r="G141" s="684">
        <v>861</v>
      </c>
      <c r="I141" s="233">
        <f>G141*7%</f>
        <v>60.27</v>
      </c>
      <c r="J141" s="234">
        <f>G141+I141</f>
        <v>921.27</v>
      </c>
      <c r="O141" s="233">
        <f>J141/40.3</f>
        <v>22.86029776674938</v>
      </c>
    </row>
  </sheetData>
  <mergeCells count="9">
    <mergeCell ref="B1:J1"/>
    <mergeCell ref="R40:T40"/>
    <mergeCell ref="B6:B7"/>
    <mergeCell ref="C6:C7"/>
    <mergeCell ref="D6:D7"/>
    <mergeCell ref="E6:E7"/>
    <mergeCell ref="F6:G6"/>
    <mergeCell ref="H6:I6"/>
    <mergeCell ref="K6:K7"/>
  </mergeCells>
  <printOptions horizontalCentered="1"/>
  <pageMargins left="0.31496062992125984" right="0.31496062992125984" top="0.59055118110236227" bottom="0.31496062992125984" header="0.19685039370078741" footer="0.19685039370078741"/>
  <pageSetup paperSize="9" scale="85" orientation="landscape" horizontalDpi="300" verticalDpi="300" r:id="rId1"/>
  <headerFooter>
    <oddHeader>&amp;R&amp;"TH SarabunPSK,ธรรมดา"แผ่นที่ &amp;P จาก &amp;N</oddHeader>
    <oddFooter>&amp;R&amp;"TH SarabunPSK,ธรรมดา"ความถูกต้องของปริมาณเป็นความรับผิดชอบของผู้เสนอราคา</oddFooter>
  </headerFooter>
  <rowBreaks count="4" manualBreakCount="4">
    <brk id="23" min="1" max="10" man="1"/>
    <brk id="46" min="1" max="10" man="1"/>
    <brk id="68" min="1" max="10" man="1"/>
    <brk id="113" min="1" max="10" man="1"/>
  </rowBreaks>
  <colBreaks count="1" manualBreakCount="1">
    <brk id="14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Y49"/>
  <sheetViews>
    <sheetView view="pageBreakPreview" topLeftCell="A13" zoomScale="130" zoomScaleNormal="100" zoomScaleSheetLayoutView="130" workbookViewId="0">
      <selection activeCell="P22" sqref="P22:S22"/>
    </sheetView>
  </sheetViews>
  <sheetFormatPr defaultColWidth="10.42578125" defaultRowHeight="18.75"/>
  <cols>
    <col min="1" max="1" width="10.42578125" style="362"/>
    <col min="2" max="2" width="7" style="362" customWidth="1"/>
    <col min="3" max="4" width="5.140625" style="362" customWidth="1"/>
    <col min="5" max="5" width="5.5703125" style="362" customWidth="1"/>
    <col min="6" max="6" width="3.140625" style="362" customWidth="1"/>
    <col min="7" max="7" width="1.85546875" style="362" customWidth="1"/>
    <col min="8" max="8" width="6.85546875" style="362" customWidth="1"/>
    <col min="9" max="12" width="5.140625" style="362" customWidth="1"/>
    <col min="13" max="13" width="2.140625" style="362" customWidth="1"/>
    <col min="14" max="14" width="5.140625" style="362" customWidth="1"/>
    <col min="15" max="15" width="8" style="362" customWidth="1"/>
    <col min="16" max="18" width="5.140625" style="362" customWidth="1"/>
    <col min="19" max="19" width="1" style="362" customWidth="1"/>
    <col min="20" max="20" width="4.85546875" style="362" customWidth="1"/>
    <col min="21" max="21" width="5.5703125" style="362" customWidth="1"/>
    <col min="22" max="22" width="10.42578125" style="362"/>
    <col min="23" max="23" width="13.5703125" style="362" bestFit="1" customWidth="1"/>
    <col min="24" max="24" width="10.42578125" style="362"/>
    <col min="25" max="25" width="14.5703125" style="362" bestFit="1" customWidth="1"/>
    <col min="26" max="257" width="10.42578125" style="362"/>
    <col min="258" max="258" width="7" style="362" customWidth="1"/>
    <col min="259" max="261" width="5.140625" style="362" customWidth="1"/>
    <col min="262" max="262" width="3.140625" style="362" customWidth="1"/>
    <col min="263" max="263" width="1.85546875" style="362" customWidth="1"/>
    <col min="264" max="264" width="7.140625" style="362" customWidth="1"/>
    <col min="265" max="265" width="1.5703125" style="362" customWidth="1"/>
    <col min="266" max="268" width="5.140625" style="362" customWidth="1"/>
    <col min="269" max="269" width="3.85546875" style="362" customWidth="1"/>
    <col min="270" max="270" width="5.140625" style="362" customWidth="1"/>
    <col min="271" max="271" width="8" style="362" customWidth="1"/>
    <col min="272" max="274" width="5.140625" style="362" customWidth="1"/>
    <col min="275" max="275" width="1" style="362" customWidth="1"/>
    <col min="276" max="276" width="3" style="362" customWidth="1"/>
    <col min="277" max="277" width="9.140625" style="362" customWidth="1"/>
    <col min="278" max="513" width="10.42578125" style="362"/>
    <col min="514" max="514" width="7" style="362" customWidth="1"/>
    <col min="515" max="517" width="5.140625" style="362" customWidth="1"/>
    <col min="518" max="518" width="3.140625" style="362" customWidth="1"/>
    <col min="519" max="519" width="1.85546875" style="362" customWidth="1"/>
    <col min="520" max="520" width="7.140625" style="362" customWidth="1"/>
    <col min="521" max="521" width="1.5703125" style="362" customWidth="1"/>
    <col min="522" max="524" width="5.140625" style="362" customWidth="1"/>
    <col min="525" max="525" width="3.85546875" style="362" customWidth="1"/>
    <col min="526" max="526" width="5.140625" style="362" customWidth="1"/>
    <col min="527" max="527" width="8" style="362" customWidth="1"/>
    <col min="528" max="530" width="5.140625" style="362" customWidth="1"/>
    <col min="531" max="531" width="1" style="362" customWidth="1"/>
    <col min="532" max="532" width="3" style="362" customWidth="1"/>
    <col min="533" max="533" width="9.140625" style="362" customWidth="1"/>
    <col min="534" max="769" width="10.42578125" style="362"/>
    <col min="770" max="770" width="7" style="362" customWidth="1"/>
    <col min="771" max="773" width="5.140625" style="362" customWidth="1"/>
    <col min="774" max="774" width="3.140625" style="362" customWidth="1"/>
    <col min="775" max="775" width="1.85546875" style="362" customWidth="1"/>
    <col min="776" max="776" width="7.140625" style="362" customWidth="1"/>
    <col min="777" max="777" width="1.5703125" style="362" customWidth="1"/>
    <col min="778" max="780" width="5.140625" style="362" customWidth="1"/>
    <col min="781" max="781" width="3.85546875" style="362" customWidth="1"/>
    <col min="782" max="782" width="5.140625" style="362" customWidth="1"/>
    <col min="783" max="783" width="8" style="362" customWidth="1"/>
    <col min="784" max="786" width="5.140625" style="362" customWidth="1"/>
    <col min="787" max="787" width="1" style="362" customWidth="1"/>
    <col min="788" max="788" width="3" style="362" customWidth="1"/>
    <col min="789" max="789" width="9.140625" style="362" customWidth="1"/>
    <col min="790" max="1025" width="10.42578125" style="362"/>
    <col min="1026" max="1026" width="7" style="362" customWidth="1"/>
    <col min="1027" max="1029" width="5.140625" style="362" customWidth="1"/>
    <col min="1030" max="1030" width="3.140625" style="362" customWidth="1"/>
    <col min="1031" max="1031" width="1.85546875" style="362" customWidth="1"/>
    <col min="1032" max="1032" width="7.140625" style="362" customWidth="1"/>
    <col min="1033" max="1033" width="1.5703125" style="362" customWidth="1"/>
    <col min="1034" max="1036" width="5.140625" style="362" customWidth="1"/>
    <col min="1037" max="1037" width="3.85546875" style="362" customWidth="1"/>
    <col min="1038" max="1038" width="5.140625" style="362" customWidth="1"/>
    <col min="1039" max="1039" width="8" style="362" customWidth="1"/>
    <col min="1040" max="1042" width="5.140625" style="362" customWidth="1"/>
    <col min="1043" max="1043" width="1" style="362" customWidth="1"/>
    <col min="1044" max="1044" width="3" style="362" customWidth="1"/>
    <col min="1045" max="1045" width="9.140625" style="362" customWidth="1"/>
    <col min="1046" max="1281" width="10.42578125" style="362"/>
    <col min="1282" max="1282" width="7" style="362" customWidth="1"/>
    <col min="1283" max="1285" width="5.140625" style="362" customWidth="1"/>
    <col min="1286" max="1286" width="3.140625" style="362" customWidth="1"/>
    <col min="1287" max="1287" width="1.85546875" style="362" customWidth="1"/>
    <col min="1288" max="1288" width="7.140625" style="362" customWidth="1"/>
    <col min="1289" max="1289" width="1.5703125" style="362" customWidth="1"/>
    <col min="1290" max="1292" width="5.140625" style="362" customWidth="1"/>
    <col min="1293" max="1293" width="3.85546875" style="362" customWidth="1"/>
    <col min="1294" max="1294" width="5.140625" style="362" customWidth="1"/>
    <col min="1295" max="1295" width="8" style="362" customWidth="1"/>
    <col min="1296" max="1298" width="5.140625" style="362" customWidth="1"/>
    <col min="1299" max="1299" width="1" style="362" customWidth="1"/>
    <col min="1300" max="1300" width="3" style="362" customWidth="1"/>
    <col min="1301" max="1301" width="9.140625" style="362" customWidth="1"/>
    <col min="1302" max="1537" width="10.42578125" style="362"/>
    <col min="1538" max="1538" width="7" style="362" customWidth="1"/>
    <col min="1539" max="1541" width="5.140625" style="362" customWidth="1"/>
    <col min="1542" max="1542" width="3.140625" style="362" customWidth="1"/>
    <col min="1543" max="1543" width="1.85546875" style="362" customWidth="1"/>
    <col min="1544" max="1544" width="7.140625" style="362" customWidth="1"/>
    <col min="1545" max="1545" width="1.5703125" style="362" customWidth="1"/>
    <col min="1546" max="1548" width="5.140625" style="362" customWidth="1"/>
    <col min="1549" max="1549" width="3.85546875" style="362" customWidth="1"/>
    <col min="1550" max="1550" width="5.140625" style="362" customWidth="1"/>
    <col min="1551" max="1551" width="8" style="362" customWidth="1"/>
    <col min="1552" max="1554" width="5.140625" style="362" customWidth="1"/>
    <col min="1555" max="1555" width="1" style="362" customWidth="1"/>
    <col min="1556" max="1556" width="3" style="362" customWidth="1"/>
    <col min="1557" max="1557" width="9.140625" style="362" customWidth="1"/>
    <col min="1558" max="1793" width="10.42578125" style="362"/>
    <col min="1794" max="1794" width="7" style="362" customWidth="1"/>
    <col min="1795" max="1797" width="5.140625" style="362" customWidth="1"/>
    <col min="1798" max="1798" width="3.140625" style="362" customWidth="1"/>
    <col min="1799" max="1799" width="1.85546875" style="362" customWidth="1"/>
    <col min="1800" max="1800" width="7.140625" style="362" customWidth="1"/>
    <col min="1801" max="1801" width="1.5703125" style="362" customWidth="1"/>
    <col min="1802" max="1804" width="5.140625" style="362" customWidth="1"/>
    <col min="1805" max="1805" width="3.85546875" style="362" customWidth="1"/>
    <col min="1806" max="1806" width="5.140625" style="362" customWidth="1"/>
    <col min="1807" max="1807" width="8" style="362" customWidth="1"/>
    <col min="1808" max="1810" width="5.140625" style="362" customWidth="1"/>
    <col min="1811" max="1811" width="1" style="362" customWidth="1"/>
    <col min="1812" max="1812" width="3" style="362" customWidth="1"/>
    <col min="1813" max="1813" width="9.140625" style="362" customWidth="1"/>
    <col min="1814" max="2049" width="10.42578125" style="362"/>
    <col min="2050" max="2050" width="7" style="362" customWidth="1"/>
    <col min="2051" max="2053" width="5.140625" style="362" customWidth="1"/>
    <col min="2054" max="2054" width="3.140625" style="362" customWidth="1"/>
    <col min="2055" max="2055" width="1.85546875" style="362" customWidth="1"/>
    <col min="2056" max="2056" width="7.140625" style="362" customWidth="1"/>
    <col min="2057" max="2057" width="1.5703125" style="362" customWidth="1"/>
    <col min="2058" max="2060" width="5.140625" style="362" customWidth="1"/>
    <col min="2061" max="2061" width="3.85546875" style="362" customWidth="1"/>
    <col min="2062" max="2062" width="5.140625" style="362" customWidth="1"/>
    <col min="2063" max="2063" width="8" style="362" customWidth="1"/>
    <col min="2064" max="2066" width="5.140625" style="362" customWidth="1"/>
    <col min="2067" max="2067" width="1" style="362" customWidth="1"/>
    <col min="2068" max="2068" width="3" style="362" customWidth="1"/>
    <col min="2069" max="2069" width="9.140625" style="362" customWidth="1"/>
    <col min="2070" max="2305" width="10.42578125" style="362"/>
    <col min="2306" max="2306" width="7" style="362" customWidth="1"/>
    <col min="2307" max="2309" width="5.140625" style="362" customWidth="1"/>
    <col min="2310" max="2310" width="3.140625" style="362" customWidth="1"/>
    <col min="2311" max="2311" width="1.85546875" style="362" customWidth="1"/>
    <col min="2312" max="2312" width="7.140625" style="362" customWidth="1"/>
    <col min="2313" max="2313" width="1.5703125" style="362" customWidth="1"/>
    <col min="2314" max="2316" width="5.140625" style="362" customWidth="1"/>
    <col min="2317" max="2317" width="3.85546875" style="362" customWidth="1"/>
    <col min="2318" max="2318" width="5.140625" style="362" customWidth="1"/>
    <col min="2319" max="2319" width="8" style="362" customWidth="1"/>
    <col min="2320" max="2322" width="5.140625" style="362" customWidth="1"/>
    <col min="2323" max="2323" width="1" style="362" customWidth="1"/>
    <col min="2324" max="2324" width="3" style="362" customWidth="1"/>
    <col min="2325" max="2325" width="9.140625" style="362" customWidth="1"/>
    <col min="2326" max="2561" width="10.42578125" style="362"/>
    <col min="2562" max="2562" width="7" style="362" customWidth="1"/>
    <col min="2563" max="2565" width="5.140625" style="362" customWidth="1"/>
    <col min="2566" max="2566" width="3.140625" style="362" customWidth="1"/>
    <col min="2567" max="2567" width="1.85546875" style="362" customWidth="1"/>
    <col min="2568" max="2568" width="7.140625" style="362" customWidth="1"/>
    <col min="2569" max="2569" width="1.5703125" style="362" customWidth="1"/>
    <col min="2570" max="2572" width="5.140625" style="362" customWidth="1"/>
    <col min="2573" max="2573" width="3.85546875" style="362" customWidth="1"/>
    <col min="2574" max="2574" width="5.140625" style="362" customWidth="1"/>
    <col min="2575" max="2575" width="8" style="362" customWidth="1"/>
    <col min="2576" max="2578" width="5.140625" style="362" customWidth="1"/>
    <col min="2579" max="2579" width="1" style="362" customWidth="1"/>
    <col min="2580" max="2580" width="3" style="362" customWidth="1"/>
    <col min="2581" max="2581" width="9.140625" style="362" customWidth="1"/>
    <col min="2582" max="2817" width="10.42578125" style="362"/>
    <col min="2818" max="2818" width="7" style="362" customWidth="1"/>
    <col min="2819" max="2821" width="5.140625" style="362" customWidth="1"/>
    <col min="2822" max="2822" width="3.140625" style="362" customWidth="1"/>
    <col min="2823" max="2823" width="1.85546875" style="362" customWidth="1"/>
    <col min="2824" max="2824" width="7.140625" style="362" customWidth="1"/>
    <col min="2825" max="2825" width="1.5703125" style="362" customWidth="1"/>
    <col min="2826" max="2828" width="5.140625" style="362" customWidth="1"/>
    <col min="2829" max="2829" width="3.85546875" style="362" customWidth="1"/>
    <col min="2830" max="2830" width="5.140625" style="362" customWidth="1"/>
    <col min="2831" max="2831" width="8" style="362" customWidth="1"/>
    <col min="2832" max="2834" width="5.140625" style="362" customWidth="1"/>
    <col min="2835" max="2835" width="1" style="362" customWidth="1"/>
    <col min="2836" max="2836" width="3" style="362" customWidth="1"/>
    <col min="2837" max="2837" width="9.140625" style="362" customWidth="1"/>
    <col min="2838" max="3073" width="10.42578125" style="362"/>
    <col min="3074" max="3074" width="7" style="362" customWidth="1"/>
    <col min="3075" max="3077" width="5.140625" style="362" customWidth="1"/>
    <col min="3078" max="3078" width="3.140625" style="362" customWidth="1"/>
    <col min="3079" max="3079" width="1.85546875" style="362" customWidth="1"/>
    <col min="3080" max="3080" width="7.140625" style="362" customWidth="1"/>
    <col min="3081" max="3081" width="1.5703125" style="362" customWidth="1"/>
    <col min="3082" max="3084" width="5.140625" style="362" customWidth="1"/>
    <col min="3085" max="3085" width="3.85546875" style="362" customWidth="1"/>
    <col min="3086" max="3086" width="5.140625" style="362" customWidth="1"/>
    <col min="3087" max="3087" width="8" style="362" customWidth="1"/>
    <col min="3088" max="3090" width="5.140625" style="362" customWidth="1"/>
    <col min="3091" max="3091" width="1" style="362" customWidth="1"/>
    <col min="3092" max="3092" width="3" style="362" customWidth="1"/>
    <col min="3093" max="3093" width="9.140625" style="362" customWidth="1"/>
    <col min="3094" max="3329" width="10.42578125" style="362"/>
    <col min="3330" max="3330" width="7" style="362" customWidth="1"/>
    <col min="3331" max="3333" width="5.140625" style="362" customWidth="1"/>
    <col min="3334" max="3334" width="3.140625" style="362" customWidth="1"/>
    <col min="3335" max="3335" width="1.85546875" style="362" customWidth="1"/>
    <col min="3336" max="3336" width="7.140625" style="362" customWidth="1"/>
    <col min="3337" max="3337" width="1.5703125" style="362" customWidth="1"/>
    <col min="3338" max="3340" width="5.140625" style="362" customWidth="1"/>
    <col min="3341" max="3341" width="3.85546875" style="362" customWidth="1"/>
    <col min="3342" max="3342" width="5.140625" style="362" customWidth="1"/>
    <col min="3343" max="3343" width="8" style="362" customWidth="1"/>
    <col min="3344" max="3346" width="5.140625" style="362" customWidth="1"/>
    <col min="3347" max="3347" width="1" style="362" customWidth="1"/>
    <col min="3348" max="3348" width="3" style="362" customWidth="1"/>
    <col min="3349" max="3349" width="9.140625" style="362" customWidth="1"/>
    <col min="3350" max="3585" width="10.42578125" style="362"/>
    <col min="3586" max="3586" width="7" style="362" customWidth="1"/>
    <col min="3587" max="3589" width="5.140625" style="362" customWidth="1"/>
    <col min="3590" max="3590" width="3.140625" style="362" customWidth="1"/>
    <col min="3591" max="3591" width="1.85546875" style="362" customWidth="1"/>
    <col min="3592" max="3592" width="7.140625" style="362" customWidth="1"/>
    <col min="3593" max="3593" width="1.5703125" style="362" customWidth="1"/>
    <col min="3594" max="3596" width="5.140625" style="362" customWidth="1"/>
    <col min="3597" max="3597" width="3.85546875" style="362" customWidth="1"/>
    <col min="3598" max="3598" width="5.140625" style="362" customWidth="1"/>
    <col min="3599" max="3599" width="8" style="362" customWidth="1"/>
    <col min="3600" max="3602" width="5.140625" style="362" customWidth="1"/>
    <col min="3603" max="3603" width="1" style="362" customWidth="1"/>
    <col min="3604" max="3604" width="3" style="362" customWidth="1"/>
    <col min="3605" max="3605" width="9.140625" style="362" customWidth="1"/>
    <col min="3606" max="3841" width="10.42578125" style="362"/>
    <col min="3842" max="3842" width="7" style="362" customWidth="1"/>
    <col min="3843" max="3845" width="5.140625" style="362" customWidth="1"/>
    <col min="3846" max="3846" width="3.140625" style="362" customWidth="1"/>
    <col min="3847" max="3847" width="1.85546875" style="362" customWidth="1"/>
    <col min="3848" max="3848" width="7.140625" style="362" customWidth="1"/>
    <col min="3849" max="3849" width="1.5703125" style="362" customWidth="1"/>
    <col min="3850" max="3852" width="5.140625" style="362" customWidth="1"/>
    <col min="3853" max="3853" width="3.85546875" style="362" customWidth="1"/>
    <col min="3854" max="3854" width="5.140625" style="362" customWidth="1"/>
    <col min="3855" max="3855" width="8" style="362" customWidth="1"/>
    <col min="3856" max="3858" width="5.140625" style="362" customWidth="1"/>
    <col min="3859" max="3859" width="1" style="362" customWidth="1"/>
    <col min="3860" max="3860" width="3" style="362" customWidth="1"/>
    <col min="3861" max="3861" width="9.140625" style="362" customWidth="1"/>
    <col min="3862" max="4097" width="10.42578125" style="362"/>
    <col min="4098" max="4098" width="7" style="362" customWidth="1"/>
    <col min="4099" max="4101" width="5.140625" style="362" customWidth="1"/>
    <col min="4102" max="4102" width="3.140625" style="362" customWidth="1"/>
    <col min="4103" max="4103" width="1.85546875" style="362" customWidth="1"/>
    <col min="4104" max="4104" width="7.140625" style="362" customWidth="1"/>
    <col min="4105" max="4105" width="1.5703125" style="362" customWidth="1"/>
    <col min="4106" max="4108" width="5.140625" style="362" customWidth="1"/>
    <col min="4109" max="4109" width="3.85546875" style="362" customWidth="1"/>
    <col min="4110" max="4110" width="5.140625" style="362" customWidth="1"/>
    <col min="4111" max="4111" width="8" style="362" customWidth="1"/>
    <col min="4112" max="4114" width="5.140625" style="362" customWidth="1"/>
    <col min="4115" max="4115" width="1" style="362" customWidth="1"/>
    <col min="4116" max="4116" width="3" style="362" customWidth="1"/>
    <col min="4117" max="4117" width="9.140625" style="362" customWidth="1"/>
    <col min="4118" max="4353" width="10.42578125" style="362"/>
    <col min="4354" max="4354" width="7" style="362" customWidth="1"/>
    <col min="4355" max="4357" width="5.140625" style="362" customWidth="1"/>
    <col min="4358" max="4358" width="3.140625" style="362" customWidth="1"/>
    <col min="4359" max="4359" width="1.85546875" style="362" customWidth="1"/>
    <col min="4360" max="4360" width="7.140625" style="362" customWidth="1"/>
    <col min="4361" max="4361" width="1.5703125" style="362" customWidth="1"/>
    <col min="4362" max="4364" width="5.140625" style="362" customWidth="1"/>
    <col min="4365" max="4365" width="3.85546875" style="362" customWidth="1"/>
    <col min="4366" max="4366" width="5.140625" style="362" customWidth="1"/>
    <col min="4367" max="4367" width="8" style="362" customWidth="1"/>
    <col min="4368" max="4370" width="5.140625" style="362" customWidth="1"/>
    <col min="4371" max="4371" width="1" style="362" customWidth="1"/>
    <col min="4372" max="4372" width="3" style="362" customWidth="1"/>
    <col min="4373" max="4373" width="9.140625" style="362" customWidth="1"/>
    <col min="4374" max="4609" width="10.42578125" style="362"/>
    <col min="4610" max="4610" width="7" style="362" customWidth="1"/>
    <col min="4611" max="4613" width="5.140625" style="362" customWidth="1"/>
    <col min="4614" max="4614" width="3.140625" style="362" customWidth="1"/>
    <col min="4615" max="4615" width="1.85546875" style="362" customWidth="1"/>
    <col min="4616" max="4616" width="7.140625" style="362" customWidth="1"/>
    <col min="4617" max="4617" width="1.5703125" style="362" customWidth="1"/>
    <col min="4618" max="4620" width="5.140625" style="362" customWidth="1"/>
    <col min="4621" max="4621" width="3.85546875" style="362" customWidth="1"/>
    <col min="4622" max="4622" width="5.140625" style="362" customWidth="1"/>
    <col min="4623" max="4623" width="8" style="362" customWidth="1"/>
    <col min="4624" max="4626" width="5.140625" style="362" customWidth="1"/>
    <col min="4627" max="4627" width="1" style="362" customWidth="1"/>
    <col min="4628" max="4628" width="3" style="362" customWidth="1"/>
    <col min="4629" max="4629" width="9.140625" style="362" customWidth="1"/>
    <col min="4630" max="4865" width="10.42578125" style="362"/>
    <col min="4866" max="4866" width="7" style="362" customWidth="1"/>
    <col min="4867" max="4869" width="5.140625" style="362" customWidth="1"/>
    <col min="4870" max="4870" width="3.140625" style="362" customWidth="1"/>
    <col min="4871" max="4871" width="1.85546875" style="362" customWidth="1"/>
    <col min="4872" max="4872" width="7.140625" style="362" customWidth="1"/>
    <col min="4873" max="4873" width="1.5703125" style="362" customWidth="1"/>
    <col min="4874" max="4876" width="5.140625" style="362" customWidth="1"/>
    <col min="4877" max="4877" width="3.85546875" style="362" customWidth="1"/>
    <col min="4878" max="4878" width="5.140625" style="362" customWidth="1"/>
    <col min="4879" max="4879" width="8" style="362" customWidth="1"/>
    <col min="4880" max="4882" width="5.140625" style="362" customWidth="1"/>
    <col min="4883" max="4883" width="1" style="362" customWidth="1"/>
    <col min="4884" max="4884" width="3" style="362" customWidth="1"/>
    <col min="4885" max="4885" width="9.140625" style="362" customWidth="1"/>
    <col min="4886" max="5121" width="10.42578125" style="362"/>
    <col min="5122" max="5122" width="7" style="362" customWidth="1"/>
    <col min="5123" max="5125" width="5.140625" style="362" customWidth="1"/>
    <col min="5126" max="5126" width="3.140625" style="362" customWidth="1"/>
    <col min="5127" max="5127" width="1.85546875" style="362" customWidth="1"/>
    <col min="5128" max="5128" width="7.140625" style="362" customWidth="1"/>
    <col min="5129" max="5129" width="1.5703125" style="362" customWidth="1"/>
    <col min="5130" max="5132" width="5.140625" style="362" customWidth="1"/>
    <col min="5133" max="5133" width="3.85546875" style="362" customWidth="1"/>
    <col min="5134" max="5134" width="5.140625" style="362" customWidth="1"/>
    <col min="5135" max="5135" width="8" style="362" customWidth="1"/>
    <col min="5136" max="5138" width="5.140625" style="362" customWidth="1"/>
    <col min="5139" max="5139" width="1" style="362" customWidth="1"/>
    <col min="5140" max="5140" width="3" style="362" customWidth="1"/>
    <col min="5141" max="5141" width="9.140625" style="362" customWidth="1"/>
    <col min="5142" max="5377" width="10.42578125" style="362"/>
    <col min="5378" max="5378" width="7" style="362" customWidth="1"/>
    <col min="5379" max="5381" width="5.140625" style="362" customWidth="1"/>
    <col min="5382" max="5382" width="3.140625" style="362" customWidth="1"/>
    <col min="5383" max="5383" width="1.85546875" style="362" customWidth="1"/>
    <col min="5384" max="5384" width="7.140625" style="362" customWidth="1"/>
    <col min="5385" max="5385" width="1.5703125" style="362" customWidth="1"/>
    <col min="5386" max="5388" width="5.140625" style="362" customWidth="1"/>
    <col min="5389" max="5389" width="3.85546875" style="362" customWidth="1"/>
    <col min="5390" max="5390" width="5.140625" style="362" customWidth="1"/>
    <col min="5391" max="5391" width="8" style="362" customWidth="1"/>
    <col min="5392" max="5394" width="5.140625" style="362" customWidth="1"/>
    <col min="5395" max="5395" width="1" style="362" customWidth="1"/>
    <col min="5396" max="5396" width="3" style="362" customWidth="1"/>
    <col min="5397" max="5397" width="9.140625" style="362" customWidth="1"/>
    <col min="5398" max="5633" width="10.42578125" style="362"/>
    <col min="5634" max="5634" width="7" style="362" customWidth="1"/>
    <col min="5635" max="5637" width="5.140625" style="362" customWidth="1"/>
    <col min="5638" max="5638" width="3.140625" style="362" customWidth="1"/>
    <col min="5639" max="5639" width="1.85546875" style="362" customWidth="1"/>
    <col min="5640" max="5640" width="7.140625" style="362" customWidth="1"/>
    <col min="5641" max="5641" width="1.5703125" style="362" customWidth="1"/>
    <col min="5642" max="5644" width="5.140625" style="362" customWidth="1"/>
    <col min="5645" max="5645" width="3.85546875" style="362" customWidth="1"/>
    <col min="5646" max="5646" width="5.140625" style="362" customWidth="1"/>
    <col min="5647" max="5647" width="8" style="362" customWidth="1"/>
    <col min="5648" max="5650" width="5.140625" style="362" customWidth="1"/>
    <col min="5651" max="5651" width="1" style="362" customWidth="1"/>
    <col min="5652" max="5652" width="3" style="362" customWidth="1"/>
    <col min="5653" max="5653" width="9.140625" style="362" customWidth="1"/>
    <col min="5654" max="5889" width="10.42578125" style="362"/>
    <col min="5890" max="5890" width="7" style="362" customWidth="1"/>
    <col min="5891" max="5893" width="5.140625" style="362" customWidth="1"/>
    <col min="5894" max="5894" width="3.140625" style="362" customWidth="1"/>
    <col min="5895" max="5895" width="1.85546875" style="362" customWidth="1"/>
    <col min="5896" max="5896" width="7.140625" style="362" customWidth="1"/>
    <col min="5897" max="5897" width="1.5703125" style="362" customWidth="1"/>
    <col min="5898" max="5900" width="5.140625" style="362" customWidth="1"/>
    <col min="5901" max="5901" width="3.85546875" style="362" customWidth="1"/>
    <col min="5902" max="5902" width="5.140625" style="362" customWidth="1"/>
    <col min="5903" max="5903" width="8" style="362" customWidth="1"/>
    <col min="5904" max="5906" width="5.140625" style="362" customWidth="1"/>
    <col min="5907" max="5907" width="1" style="362" customWidth="1"/>
    <col min="5908" max="5908" width="3" style="362" customWidth="1"/>
    <col min="5909" max="5909" width="9.140625" style="362" customWidth="1"/>
    <col min="5910" max="6145" width="10.42578125" style="362"/>
    <col min="6146" max="6146" width="7" style="362" customWidth="1"/>
    <col min="6147" max="6149" width="5.140625" style="362" customWidth="1"/>
    <col min="6150" max="6150" width="3.140625" style="362" customWidth="1"/>
    <col min="6151" max="6151" width="1.85546875" style="362" customWidth="1"/>
    <col min="6152" max="6152" width="7.140625" style="362" customWidth="1"/>
    <col min="6153" max="6153" width="1.5703125" style="362" customWidth="1"/>
    <col min="6154" max="6156" width="5.140625" style="362" customWidth="1"/>
    <col min="6157" max="6157" width="3.85546875" style="362" customWidth="1"/>
    <col min="6158" max="6158" width="5.140625" style="362" customWidth="1"/>
    <col min="6159" max="6159" width="8" style="362" customWidth="1"/>
    <col min="6160" max="6162" width="5.140625" style="362" customWidth="1"/>
    <col min="6163" max="6163" width="1" style="362" customWidth="1"/>
    <col min="6164" max="6164" width="3" style="362" customWidth="1"/>
    <col min="6165" max="6165" width="9.140625" style="362" customWidth="1"/>
    <col min="6166" max="6401" width="10.42578125" style="362"/>
    <col min="6402" max="6402" width="7" style="362" customWidth="1"/>
    <col min="6403" max="6405" width="5.140625" style="362" customWidth="1"/>
    <col min="6406" max="6406" width="3.140625" style="362" customWidth="1"/>
    <col min="6407" max="6407" width="1.85546875" style="362" customWidth="1"/>
    <col min="6408" max="6408" width="7.140625" style="362" customWidth="1"/>
    <col min="6409" max="6409" width="1.5703125" style="362" customWidth="1"/>
    <col min="6410" max="6412" width="5.140625" style="362" customWidth="1"/>
    <col min="6413" max="6413" width="3.85546875" style="362" customWidth="1"/>
    <col min="6414" max="6414" width="5.140625" style="362" customWidth="1"/>
    <col min="6415" max="6415" width="8" style="362" customWidth="1"/>
    <col min="6416" max="6418" width="5.140625" style="362" customWidth="1"/>
    <col min="6419" max="6419" width="1" style="362" customWidth="1"/>
    <col min="6420" max="6420" width="3" style="362" customWidth="1"/>
    <col min="6421" max="6421" width="9.140625" style="362" customWidth="1"/>
    <col min="6422" max="6657" width="10.42578125" style="362"/>
    <col min="6658" max="6658" width="7" style="362" customWidth="1"/>
    <col min="6659" max="6661" width="5.140625" style="362" customWidth="1"/>
    <col min="6662" max="6662" width="3.140625" style="362" customWidth="1"/>
    <col min="6663" max="6663" width="1.85546875" style="362" customWidth="1"/>
    <col min="6664" max="6664" width="7.140625" style="362" customWidth="1"/>
    <col min="6665" max="6665" width="1.5703125" style="362" customWidth="1"/>
    <col min="6666" max="6668" width="5.140625" style="362" customWidth="1"/>
    <col min="6669" max="6669" width="3.85546875" style="362" customWidth="1"/>
    <col min="6670" max="6670" width="5.140625" style="362" customWidth="1"/>
    <col min="6671" max="6671" width="8" style="362" customWidth="1"/>
    <col min="6672" max="6674" width="5.140625" style="362" customWidth="1"/>
    <col min="6675" max="6675" width="1" style="362" customWidth="1"/>
    <col min="6676" max="6676" width="3" style="362" customWidth="1"/>
    <col min="6677" max="6677" width="9.140625" style="362" customWidth="1"/>
    <col min="6678" max="6913" width="10.42578125" style="362"/>
    <col min="6914" max="6914" width="7" style="362" customWidth="1"/>
    <col min="6915" max="6917" width="5.140625" style="362" customWidth="1"/>
    <col min="6918" max="6918" width="3.140625" style="362" customWidth="1"/>
    <col min="6919" max="6919" width="1.85546875" style="362" customWidth="1"/>
    <col min="6920" max="6920" width="7.140625" style="362" customWidth="1"/>
    <col min="6921" max="6921" width="1.5703125" style="362" customWidth="1"/>
    <col min="6922" max="6924" width="5.140625" style="362" customWidth="1"/>
    <col min="6925" max="6925" width="3.85546875" style="362" customWidth="1"/>
    <col min="6926" max="6926" width="5.140625" style="362" customWidth="1"/>
    <col min="6927" max="6927" width="8" style="362" customWidth="1"/>
    <col min="6928" max="6930" width="5.140625" style="362" customWidth="1"/>
    <col min="6931" max="6931" width="1" style="362" customWidth="1"/>
    <col min="6932" max="6932" width="3" style="362" customWidth="1"/>
    <col min="6933" max="6933" width="9.140625" style="362" customWidth="1"/>
    <col min="6934" max="7169" width="10.42578125" style="362"/>
    <col min="7170" max="7170" width="7" style="362" customWidth="1"/>
    <col min="7171" max="7173" width="5.140625" style="362" customWidth="1"/>
    <col min="7174" max="7174" width="3.140625" style="362" customWidth="1"/>
    <col min="7175" max="7175" width="1.85546875" style="362" customWidth="1"/>
    <col min="7176" max="7176" width="7.140625" style="362" customWidth="1"/>
    <col min="7177" max="7177" width="1.5703125" style="362" customWidth="1"/>
    <col min="7178" max="7180" width="5.140625" style="362" customWidth="1"/>
    <col min="7181" max="7181" width="3.85546875" style="362" customWidth="1"/>
    <col min="7182" max="7182" width="5.140625" style="362" customWidth="1"/>
    <col min="7183" max="7183" width="8" style="362" customWidth="1"/>
    <col min="7184" max="7186" width="5.140625" style="362" customWidth="1"/>
    <col min="7187" max="7187" width="1" style="362" customWidth="1"/>
    <col min="7188" max="7188" width="3" style="362" customWidth="1"/>
    <col min="7189" max="7189" width="9.140625" style="362" customWidth="1"/>
    <col min="7190" max="7425" width="10.42578125" style="362"/>
    <col min="7426" max="7426" width="7" style="362" customWidth="1"/>
    <col min="7427" max="7429" width="5.140625" style="362" customWidth="1"/>
    <col min="7430" max="7430" width="3.140625" style="362" customWidth="1"/>
    <col min="7431" max="7431" width="1.85546875" style="362" customWidth="1"/>
    <col min="7432" max="7432" width="7.140625" style="362" customWidth="1"/>
    <col min="7433" max="7433" width="1.5703125" style="362" customWidth="1"/>
    <col min="7434" max="7436" width="5.140625" style="362" customWidth="1"/>
    <col min="7437" max="7437" width="3.85546875" style="362" customWidth="1"/>
    <col min="7438" max="7438" width="5.140625" style="362" customWidth="1"/>
    <col min="7439" max="7439" width="8" style="362" customWidth="1"/>
    <col min="7440" max="7442" width="5.140625" style="362" customWidth="1"/>
    <col min="7443" max="7443" width="1" style="362" customWidth="1"/>
    <col min="7444" max="7444" width="3" style="362" customWidth="1"/>
    <col min="7445" max="7445" width="9.140625" style="362" customWidth="1"/>
    <col min="7446" max="7681" width="10.42578125" style="362"/>
    <col min="7682" max="7682" width="7" style="362" customWidth="1"/>
    <col min="7683" max="7685" width="5.140625" style="362" customWidth="1"/>
    <col min="7686" max="7686" width="3.140625" style="362" customWidth="1"/>
    <col min="7687" max="7687" width="1.85546875" style="362" customWidth="1"/>
    <col min="7688" max="7688" width="7.140625" style="362" customWidth="1"/>
    <col min="7689" max="7689" width="1.5703125" style="362" customWidth="1"/>
    <col min="7690" max="7692" width="5.140625" style="362" customWidth="1"/>
    <col min="7693" max="7693" width="3.85546875" style="362" customWidth="1"/>
    <col min="7694" max="7694" width="5.140625" style="362" customWidth="1"/>
    <col min="7695" max="7695" width="8" style="362" customWidth="1"/>
    <col min="7696" max="7698" width="5.140625" style="362" customWidth="1"/>
    <col min="7699" max="7699" width="1" style="362" customWidth="1"/>
    <col min="7700" max="7700" width="3" style="362" customWidth="1"/>
    <col min="7701" max="7701" width="9.140625" style="362" customWidth="1"/>
    <col min="7702" max="7937" width="10.42578125" style="362"/>
    <col min="7938" max="7938" width="7" style="362" customWidth="1"/>
    <col min="7939" max="7941" width="5.140625" style="362" customWidth="1"/>
    <col min="7942" max="7942" width="3.140625" style="362" customWidth="1"/>
    <col min="7943" max="7943" width="1.85546875" style="362" customWidth="1"/>
    <col min="7944" max="7944" width="7.140625" style="362" customWidth="1"/>
    <col min="7945" max="7945" width="1.5703125" style="362" customWidth="1"/>
    <col min="7946" max="7948" width="5.140625" style="362" customWidth="1"/>
    <col min="7949" max="7949" width="3.85546875" style="362" customWidth="1"/>
    <col min="7950" max="7950" width="5.140625" style="362" customWidth="1"/>
    <col min="7951" max="7951" width="8" style="362" customWidth="1"/>
    <col min="7952" max="7954" width="5.140625" style="362" customWidth="1"/>
    <col min="7955" max="7955" width="1" style="362" customWidth="1"/>
    <col min="7956" max="7956" width="3" style="362" customWidth="1"/>
    <col min="7957" max="7957" width="9.140625" style="362" customWidth="1"/>
    <col min="7958" max="8193" width="10.42578125" style="362"/>
    <col min="8194" max="8194" width="7" style="362" customWidth="1"/>
    <col min="8195" max="8197" width="5.140625" style="362" customWidth="1"/>
    <col min="8198" max="8198" width="3.140625" style="362" customWidth="1"/>
    <col min="8199" max="8199" width="1.85546875" style="362" customWidth="1"/>
    <col min="8200" max="8200" width="7.140625" style="362" customWidth="1"/>
    <col min="8201" max="8201" width="1.5703125" style="362" customWidth="1"/>
    <col min="8202" max="8204" width="5.140625" style="362" customWidth="1"/>
    <col min="8205" max="8205" width="3.85546875" style="362" customWidth="1"/>
    <col min="8206" max="8206" width="5.140625" style="362" customWidth="1"/>
    <col min="8207" max="8207" width="8" style="362" customWidth="1"/>
    <col min="8208" max="8210" width="5.140625" style="362" customWidth="1"/>
    <col min="8211" max="8211" width="1" style="362" customWidth="1"/>
    <col min="8212" max="8212" width="3" style="362" customWidth="1"/>
    <col min="8213" max="8213" width="9.140625" style="362" customWidth="1"/>
    <col min="8214" max="8449" width="10.42578125" style="362"/>
    <col min="8450" max="8450" width="7" style="362" customWidth="1"/>
    <col min="8451" max="8453" width="5.140625" style="362" customWidth="1"/>
    <col min="8454" max="8454" width="3.140625" style="362" customWidth="1"/>
    <col min="8455" max="8455" width="1.85546875" style="362" customWidth="1"/>
    <col min="8456" max="8456" width="7.140625" style="362" customWidth="1"/>
    <col min="8457" max="8457" width="1.5703125" style="362" customWidth="1"/>
    <col min="8458" max="8460" width="5.140625" style="362" customWidth="1"/>
    <col min="8461" max="8461" width="3.85546875" style="362" customWidth="1"/>
    <col min="8462" max="8462" width="5.140625" style="362" customWidth="1"/>
    <col min="8463" max="8463" width="8" style="362" customWidth="1"/>
    <col min="8464" max="8466" width="5.140625" style="362" customWidth="1"/>
    <col min="8467" max="8467" width="1" style="362" customWidth="1"/>
    <col min="8468" max="8468" width="3" style="362" customWidth="1"/>
    <col min="8469" max="8469" width="9.140625" style="362" customWidth="1"/>
    <col min="8470" max="8705" width="10.42578125" style="362"/>
    <col min="8706" max="8706" width="7" style="362" customWidth="1"/>
    <col min="8707" max="8709" width="5.140625" style="362" customWidth="1"/>
    <col min="8710" max="8710" width="3.140625" style="362" customWidth="1"/>
    <col min="8711" max="8711" width="1.85546875" style="362" customWidth="1"/>
    <col min="8712" max="8712" width="7.140625" style="362" customWidth="1"/>
    <col min="8713" max="8713" width="1.5703125" style="362" customWidth="1"/>
    <col min="8714" max="8716" width="5.140625" style="362" customWidth="1"/>
    <col min="8717" max="8717" width="3.85546875" style="362" customWidth="1"/>
    <col min="8718" max="8718" width="5.140625" style="362" customWidth="1"/>
    <col min="8719" max="8719" width="8" style="362" customWidth="1"/>
    <col min="8720" max="8722" width="5.140625" style="362" customWidth="1"/>
    <col min="8723" max="8723" width="1" style="362" customWidth="1"/>
    <col min="8724" max="8724" width="3" style="362" customWidth="1"/>
    <col min="8725" max="8725" width="9.140625" style="362" customWidth="1"/>
    <col min="8726" max="8961" width="10.42578125" style="362"/>
    <col min="8962" max="8962" width="7" style="362" customWidth="1"/>
    <col min="8963" max="8965" width="5.140625" style="362" customWidth="1"/>
    <col min="8966" max="8966" width="3.140625" style="362" customWidth="1"/>
    <col min="8967" max="8967" width="1.85546875" style="362" customWidth="1"/>
    <col min="8968" max="8968" width="7.140625" style="362" customWidth="1"/>
    <col min="8969" max="8969" width="1.5703125" style="362" customWidth="1"/>
    <col min="8970" max="8972" width="5.140625" style="362" customWidth="1"/>
    <col min="8973" max="8973" width="3.85546875" style="362" customWidth="1"/>
    <col min="8974" max="8974" width="5.140625" style="362" customWidth="1"/>
    <col min="8975" max="8975" width="8" style="362" customWidth="1"/>
    <col min="8976" max="8978" width="5.140625" style="362" customWidth="1"/>
    <col min="8979" max="8979" width="1" style="362" customWidth="1"/>
    <col min="8980" max="8980" width="3" style="362" customWidth="1"/>
    <col min="8981" max="8981" width="9.140625" style="362" customWidth="1"/>
    <col min="8982" max="9217" width="10.42578125" style="362"/>
    <col min="9218" max="9218" width="7" style="362" customWidth="1"/>
    <col min="9219" max="9221" width="5.140625" style="362" customWidth="1"/>
    <col min="9222" max="9222" width="3.140625" style="362" customWidth="1"/>
    <col min="9223" max="9223" width="1.85546875" style="362" customWidth="1"/>
    <col min="9224" max="9224" width="7.140625" style="362" customWidth="1"/>
    <col min="9225" max="9225" width="1.5703125" style="362" customWidth="1"/>
    <col min="9226" max="9228" width="5.140625" style="362" customWidth="1"/>
    <col min="9229" max="9229" width="3.85546875" style="362" customWidth="1"/>
    <col min="9230" max="9230" width="5.140625" style="362" customWidth="1"/>
    <col min="9231" max="9231" width="8" style="362" customWidth="1"/>
    <col min="9232" max="9234" width="5.140625" style="362" customWidth="1"/>
    <col min="9235" max="9235" width="1" style="362" customWidth="1"/>
    <col min="9236" max="9236" width="3" style="362" customWidth="1"/>
    <col min="9237" max="9237" width="9.140625" style="362" customWidth="1"/>
    <col min="9238" max="9473" width="10.42578125" style="362"/>
    <col min="9474" max="9474" width="7" style="362" customWidth="1"/>
    <col min="9475" max="9477" width="5.140625" style="362" customWidth="1"/>
    <col min="9478" max="9478" width="3.140625" style="362" customWidth="1"/>
    <col min="9479" max="9479" width="1.85546875" style="362" customWidth="1"/>
    <col min="9480" max="9480" width="7.140625" style="362" customWidth="1"/>
    <col min="9481" max="9481" width="1.5703125" style="362" customWidth="1"/>
    <col min="9482" max="9484" width="5.140625" style="362" customWidth="1"/>
    <col min="9485" max="9485" width="3.85546875" style="362" customWidth="1"/>
    <col min="9486" max="9486" width="5.140625" style="362" customWidth="1"/>
    <col min="9487" max="9487" width="8" style="362" customWidth="1"/>
    <col min="9488" max="9490" width="5.140625" style="362" customWidth="1"/>
    <col min="9491" max="9491" width="1" style="362" customWidth="1"/>
    <col min="9492" max="9492" width="3" style="362" customWidth="1"/>
    <col min="9493" max="9493" width="9.140625" style="362" customWidth="1"/>
    <col min="9494" max="9729" width="10.42578125" style="362"/>
    <col min="9730" max="9730" width="7" style="362" customWidth="1"/>
    <col min="9731" max="9733" width="5.140625" style="362" customWidth="1"/>
    <col min="9734" max="9734" width="3.140625" style="362" customWidth="1"/>
    <col min="9735" max="9735" width="1.85546875" style="362" customWidth="1"/>
    <col min="9736" max="9736" width="7.140625" style="362" customWidth="1"/>
    <col min="9737" max="9737" width="1.5703125" style="362" customWidth="1"/>
    <col min="9738" max="9740" width="5.140625" style="362" customWidth="1"/>
    <col min="9741" max="9741" width="3.85546875" style="362" customWidth="1"/>
    <col min="9742" max="9742" width="5.140625" style="362" customWidth="1"/>
    <col min="9743" max="9743" width="8" style="362" customWidth="1"/>
    <col min="9744" max="9746" width="5.140625" style="362" customWidth="1"/>
    <col min="9747" max="9747" width="1" style="362" customWidth="1"/>
    <col min="9748" max="9748" width="3" style="362" customWidth="1"/>
    <col min="9749" max="9749" width="9.140625" style="362" customWidth="1"/>
    <col min="9750" max="9985" width="10.42578125" style="362"/>
    <col min="9986" max="9986" width="7" style="362" customWidth="1"/>
    <col min="9987" max="9989" width="5.140625" style="362" customWidth="1"/>
    <col min="9990" max="9990" width="3.140625" style="362" customWidth="1"/>
    <col min="9991" max="9991" width="1.85546875" style="362" customWidth="1"/>
    <col min="9992" max="9992" width="7.140625" style="362" customWidth="1"/>
    <col min="9993" max="9993" width="1.5703125" style="362" customWidth="1"/>
    <col min="9994" max="9996" width="5.140625" style="362" customWidth="1"/>
    <col min="9997" max="9997" width="3.85546875" style="362" customWidth="1"/>
    <col min="9998" max="9998" width="5.140625" style="362" customWidth="1"/>
    <col min="9999" max="9999" width="8" style="362" customWidth="1"/>
    <col min="10000" max="10002" width="5.140625" style="362" customWidth="1"/>
    <col min="10003" max="10003" width="1" style="362" customWidth="1"/>
    <col min="10004" max="10004" width="3" style="362" customWidth="1"/>
    <col min="10005" max="10005" width="9.140625" style="362" customWidth="1"/>
    <col min="10006" max="10241" width="10.42578125" style="362"/>
    <col min="10242" max="10242" width="7" style="362" customWidth="1"/>
    <col min="10243" max="10245" width="5.140625" style="362" customWidth="1"/>
    <col min="10246" max="10246" width="3.140625" style="362" customWidth="1"/>
    <col min="10247" max="10247" width="1.85546875" style="362" customWidth="1"/>
    <col min="10248" max="10248" width="7.140625" style="362" customWidth="1"/>
    <col min="10249" max="10249" width="1.5703125" style="362" customWidth="1"/>
    <col min="10250" max="10252" width="5.140625" style="362" customWidth="1"/>
    <col min="10253" max="10253" width="3.85546875" style="362" customWidth="1"/>
    <col min="10254" max="10254" width="5.140625" style="362" customWidth="1"/>
    <col min="10255" max="10255" width="8" style="362" customWidth="1"/>
    <col min="10256" max="10258" width="5.140625" style="362" customWidth="1"/>
    <col min="10259" max="10259" width="1" style="362" customWidth="1"/>
    <col min="10260" max="10260" width="3" style="362" customWidth="1"/>
    <col min="10261" max="10261" width="9.140625" style="362" customWidth="1"/>
    <col min="10262" max="10497" width="10.42578125" style="362"/>
    <col min="10498" max="10498" width="7" style="362" customWidth="1"/>
    <col min="10499" max="10501" width="5.140625" style="362" customWidth="1"/>
    <col min="10502" max="10502" width="3.140625" style="362" customWidth="1"/>
    <col min="10503" max="10503" width="1.85546875" style="362" customWidth="1"/>
    <col min="10504" max="10504" width="7.140625" style="362" customWidth="1"/>
    <col min="10505" max="10505" width="1.5703125" style="362" customWidth="1"/>
    <col min="10506" max="10508" width="5.140625" style="362" customWidth="1"/>
    <col min="10509" max="10509" width="3.85546875" style="362" customWidth="1"/>
    <col min="10510" max="10510" width="5.140625" style="362" customWidth="1"/>
    <col min="10511" max="10511" width="8" style="362" customWidth="1"/>
    <col min="10512" max="10514" width="5.140625" style="362" customWidth="1"/>
    <col min="10515" max="10515" width="1" style="362" customWidth="1"/>
    <col min="10516" max="10516" width="3" style="362" customWidth="1"/>
    <col min="10517" max="10517" width="9.140625" style="362" customWidth="1"/>
    <col min="10518" max="10753" width="10.42578125" style="362"/>
    <col min="10754" max="10754" width="7" style="362" customWidth="1"/>
    <col min="10755" max="10757" width="5.140625" style="362" customWidth="1"/>
    <col min="10758" max="10758" width="3.140625" style="362" customWidth="1"/>
    <col min="10759" max="10759" width="1.85546875" style="362" customWidth="1"/>
    <col min="10760" max="10760" width="7.140625" style="362" customWidth="1"/>
    <col min="10761" max="10761" width="1.5703125" style="362" customWidth="1"/>
    <col min="10762" max="10764" width="5.140625" style="362" customWidth="1"/>
    <col min="10765" max="10765" width="3.85546875" style="362" customWidth="1"/>
    <col min="10766" max="10766" width="5.140625" style="362" customWidth="1"/>
    <col min="10767" max="10767" width="8" style="362" customWidth="1"/>
    <col min="10768" max="10770" width="5.140625" style="362" customWidth="1"/>
    <col min="10771" max="10771" width="1" style="362" customWidth="1"/>
    <col min="10772" max="10772" width="3" style="362" customWidth="1"/>
    <col min="10773" max="10773" width="9.140625" style="362" customWidth="1"/>
    <col min="10774" max="11009" width="10.42578125" style="362"/>
    <col min="11010" max="11010" width="7" style="362" customWidth="1"/>
    <col min="11011" max="11013" width="5.140625" style="362" customWidth="1"/>
    <col min="11014" max="11014" width="3.140625" style="362" customWidth="1"/>
    <col min="11015" max="11015" width="1.85546875" style="362" customWidth="1"/>
    <col min="11016" max="11016" width="7.140625" style="362" customWidth="1"/>
    <col min="11017" max="11017" width="1.5703125" style="362" customWidth="1"/>
    <col min="11018" max="11020" width="5.140625" style="362" customWidth="1"/>
    <col min="11021" max="11021" width="3.85546875" style="362" customWidth="1"/>
    <col min="11022" max="11022" width="5.140625" style="362" customWidth="1"/>
    <col min="11023" max="11023" width="8" style="362" customWidth="1"/>
    <col min="11024" max="11026" width="5.140625" style="362" customWidth="1"/>
    <col min="11027" max="11027" width="1" style="362" customWidth="1"/>
    <col min="11028" max="11028" width="3" style="362" customWidth="1"/>
    <col min="11029" max="11029" width="9.140625" style="362" customWidth="1"/>
    <col min="11030" max="11265" width="10.42578125" style="362"/>
    <col min="11266" max="11266" width="7" style="362" customWidth="1"/>
    <col min="11267" max="11269" width="5.140625" style="362" customWidth="1"/>
    <col min="11270" max="11270" width="3.140625" style="362" customWidth="1"/>
    <col min="11271" max="11271" width="1.85546875" style="362" customWidth="1"/>
    <col min="11272" max="11272" width="7.140625" style="362" customWidth="1"/>
    <col min="11273" max="11273" width="1.5703125" style="362" customWidth="1"/>
    <col min="11274" max="11276" width="5.140625" style="362" customWidth="1"/>
    <col min="11277" max="11277" width="3.85546875" style="362" customWidth="1"/>
    <col min="11278" max="11278" width="5.140625" style="362" customWidth="1"/>
    <col min="11279" max="11279" width="8" style="362" customWidth="1"/>
    <col min="11280" max="11282" width="5.140625" style="362" customWidth="1"/>
    <col min="11283" max="11283" width="1" style="362" customWidth="1"/>
    <col min="11284" max="11284" width="3" style="362" customWidth="1"/>
    <col min="11285" max="11285" width="9.140625" style="362" customWidth="1"/>
    <col min="11286" max="11521" width="10.42578125" style="362"/>
    <col min="11522" max="11522" width="7" style="362" customWidth="1"/>
    <col min="11523" max="11525" width="5.140625" style="362" customWidth="1"/>
    <col min="11526" max="11526" width="3.140625" style="362" customWidth="1"/>
    <col min="11527" max="11527" width="1.85546875" style="362" customWidth="1"/>
    <col min="11528" max="11528" width="7.140625" style="362" customWidth="1"/>
    <col min="11529" max="11529" width="1.5703125" style="362" customWidth="1"/>
    <col min="11530" max="11532" width="5.140625" style="362" customWidth="1"/>
    <col min="11533" max="11533" width="3.85546875" style="362" customWidth="1"/>
    <col min="11534" max="11534" width="5.140625" style="362" customWidth="1"/>
    <col min="11535" max="11535" width="8" style="362" customWidth="1"/>
    <col min="11536" max="11538" width="5.140625" style="362" customWidth="1"/>
    <col min="11539" max="11539" width="1" style="362" customWidth="1"/>
    <col min="11540" max="11540" width="3" style="362" customWidth="1"/>
    <col min="11541" max="11541" width="9.140625" style="362" customWidth="1"/>
    <col min="11542" max="11777" width="10.42578125" style="362"/>
    <col min="11778" max="11778" width="7" style="362" customWidth="1"/>
    <col min="11779" max="11781" width="5.140625" style="362" customWidth="1"/>
    <col min="11782" max="11782" width="3.140625" style="362" customWidth="1"/>
    <col min="11783" max="11783" width="1.85546875" style="362" customWidth="1"/>
    <col min="11784" max="11784" width="7.140625" style="362" customWidth="1"/>
    <col min="11785" max="11785" width="1.5703125" style="362" customWidth="1"/>
    <col min="11786" max="11788" width="5.140625" style="362" customWidth="1"/>
    <col min="11789" max="11789" width="3.85546875" style="362" customWidth="1"/>
    <col min="11790" max="11790" width="5.140625" style="362" customWidth="1"/>
    <col min="11791" max="11791" width="8" style="362" customWidth="1"/>
    <col min="11792" max="11794" width="5.140625" style="362" customWidth="1"/>
    <col min="11795" max="11795" width="1" style="362" customWidth="1"/>
    <col min="11796" max="11796" width="3" style="362" customWidth="1"/>
    <col min="11797" max="11797" width="9.140625" style="362" customWidth="1"/>
    <col min="11798" max="12033" width="10.42578125" style="362"/>
    <col min="12034" max="12034" width="7" style="362" customWidth="1"/>
    <col min="12035" max="12037" width="5.140625" style="362" customWidth="1"/>
    <col min="12038" max="12038" width="3.140625" style="362" customWidth="1"/>
    <col min="12039" max="12039" width="1.85546875" style="362" customWidth="1"/>
    <col min="12040" max="12040" width="7.140625" style="362" customWidth="1"/>
    <col min="12041" max="12041" width="1.5703125" style="362" customWidth="1"/>
    <col min="12042" max="12044" width="5.140625" style="362" customWidth="1"/>
    <col min="12045" max="12045" width="3.85546875" style="362" customWidth="1"/>
    <col min="12046" max="12046" width="5.140625" style="362" customWidth="1"/>
    <col min="12047" max="12047" width="8" style="362" customWidth="1"/>
    <col min="12048" max="12050" width="5.140625" style="362" customWidth="1"/>
    <col min="12051" max="12051" width="1" style="362" customWidth="1"/>
    <col min="12052" max="12052" width="3" style="362" customWidth="1"/>
    <col min="12053" max="12053" width="9.140625" style="362" customWidth="1"/>
    <col min="12054" max="12289" width="10.42578125" style="362"/>
    <col min="12290" max="12290" width="7" style="362" customWidth="1"/>
    <col min="12291" max="12293" width="5.140625" style="362" customWidth="1"/>
    <col min="12294" max="12294" width="3.140625" style="362" customWidth="1"/>
    <col min="12295" max="12295" width="1.85546875" style="362" customWidth="1"/>
    <col min="12296" max="12296" width="7.140625" style="362" customWidth="1"/>
    <col min="12297" max="12297" width="1.5703125" style="362" customWidth="1"/>
    <col min="12298" max="12300" width="5.140625" style="362" customWidth="1"/>
    <col min="12301" max="12301" width="3.85546875" style="362" customWidth="1"/>
    <col min="12302" max="12302" width="5.140625" style="362" customWidth="1"/>
    <col min="12303" max="12303" width="8" style="362" customWidth="1"/>
    <col min="12304" max="12306" width="5.140625" style="362" customWidth="1"/>
    <col min="12307" max="12307" width="1" style="362" customWidth="1"/>
    <col min="12308" max="12308" width="3" style="362" customWidth="1"/>
    <col min="12309" max="12309" width="9.140625" style="362" customWidth="1"/>
    <col min="12310" max="12545" width="10.42578125" style="362"/>
    <col min="12546" max="12546" width="7" style="362" customWidth="1"/>
    <col min="12547" max="12549" width="5.140625" style="362" customWidth="1"/>
    <col min="12550" max="12550" width="3.140625" style="362" customWidth="1"/>
    <col min="12551" max="12551" width="1.85546875" style="362" customWidth="1"/>
    <col min="12552" max="12552" width="7.140625" style="362" customWidth="1"/>
    <col min="12553" max="12553" width="1.5703125" style="362" customWidth="1"/>
    <col min="12554" max="12556" width="5.140625" style="362" customWidth="1"/>
    <col min="12557" max="12557" width="3.85546875" style="362" customWidth="1"/>
    <col min="12558" max="12558" width="5.140625" style="362" customWidth="1"/>
    <col min="12559" max="12559" width="8" style="362" customWidth="1"/>
    <col min="12560" max="12562" width="5.140625" style="362" customWidth="1"/>
    <col min="12563" max="12563" width="1" style="362" customWidth="1"/>
    <col min="12564" max="12564" width="3" style="362" customWidth="1"/>
    <col min="12565" max="12565" width="9.140625" style="362" customWidth="1"/>
    <col min="12566" max="12801" width="10.42578125" style="362"/>
    <col min="12802" max="12802" width="7" style="362" customWidth="1"/>
    <col min="12803" max="12805" width="5.140625" style="362" customWidth="1"/>
    <col min="12806" max="12806" width="3.140625" style="362" customWidth="1"/>
    <col min="12807" max="12807" width="1.85546875" style="362" customWidth="1"/>
    <col min="12808" max="12808" width="7.140625" style="362" customWidth="1"/>
    <col min="12809" max="12809" width="1.5703125" style="362" customWidth="1"/>
    <col min="12810" max="12812" width="5.140625" style="362" customWidth="1"/>
    <col min="12813" max="12813" width="3.85546875" style="362" customWidth="1"/>
    <col min="12814" max="12814" width="5.140625" style="362" customWidth="1"/>
    <col min="12815" max="12815" width="8" style="362" customWidth="1"/>
    <col min="12816" max="12818" width="5.140625" style="362" customWidth="1"/>
    <col min="12819" max="12819" width="1" style="362" customWidth="1"/>
    <col min="12820" max="12820" width="3" style="362" customWidth="1"/>
    <col min="12821" max="12821" width="9.140625" style="362" customWidth="1"/>
    <col min="12822" max="13057" width="10.42578125" style="362"/>
    <col min="13058" max="13058" width="7" style="362" customWidth="1"/>
    <col min="13059" max="13061" width="5.140625" style="362" customWidth="1"/>
    <col min="13062" max="13062" width="3.140625" style="362" customWidth="1"/>
    <col min="13063" max="13063" width="1.85546875" style="362" customWidth="1"/>
    <col min="13064" max="13064" width="7.140625" style="362" customWidth="1"/>
    <col min="13065" max="13065" width="1.5703125" style="362" customWidth="1"/>
    <col min="13066" max="13068" width="5.140625" style="362" customWidth="1"/>
    <col min="13069" max="13069" width="3.85546875" style="362" customWidth="1"/>
    <col min="13070" max="13070" width="5.140625" style="362" customWidth="1"/>
    <col min="13071" max="13071" width="8" style="362" customWidth="1"/>
    <col min="13072" max="13074" width="5.140625" style="362" customWidth="1"/>
    <col min="13075" max="13075" width="1" style="362" customWidth="1"/>
    <col min="13076" max="13076" width="3" style="362" customWidth="1"/>
    <col min="13077" max="13077" width="9.140625" style="362" customWidth="1"/>
    <col min="13078" max="13313" width="10.42578125" style="362"/>
    <col min="13314" max="13314" width="7" style="362" customWidth="1"/>
    <col min="13315" max="13317" width="5.140625" style="362" customWidth="1"/>
    <col min="13318" max="13318" width="3.140625" style="362" customWidth="1"/>
    <col min="13319" max="13319" width="1.85546875" style="362" customWidth="1"/>
    <col min="13320" max="13320" width="7.140625" style="362" customWidth="1"/>
    <col min="13321" max="13321" width="1.5703125" style="362" customWidth="1"/>
    <col min="13322" max="13324" width="5.140625" style="362" customWidth="1"/>
    <col min="13325" max="13325" width="3.85546875" style="362" customWidth="1"/>
    <col min="13326" max="13326" width="5.140625" style="362" customWidth="1"/>
    <col min="13327" max="13327" width="8" style="362" customWidth="1"/>
    <col min="13328" max="13330" width="5.140625" style="362" customWidth="1"/>
    <col min="13331" max="13331" width="1" style="362" customWidth="1"/>
    <col min="13332" max="13332" width="3" style="362" customWidth="1"/>
    <col min="13333" max="13333" width="9.140625" style="362" customWidth="1"/>
    <col min="13334" max="13569" width="10.42578125" style="362"/>
    <col min="13570" max="13570" width="7" style="362" customWidth="1"/>
    <col min="13571" max="13573" width="5.140625" style="362" customWidth="1"/>
    <col min="13574" max="13574" width="3.140625" style="362" customWidth="1"/>
    <col min="13575" max="13575" width="1.85546875" style="362" customWidth="1"/>
    <col min="13576" max="13576" width="7.140625" style="362" customWidth="1"/>
    <col min="13577" max="13577" width="1.5703125" style="362" customWidth="1"/>
    <col min="13578" max="13580" width="5.140625" style="362" customWidth="1"/>
    <col min="13581" max="13581" width="3.85546875" style="362" customWidth="1"/>
    <col min="13582" max="13582" width="5.140625" style="362" customWidth="1"/>
    <col min="13583" max="13583" width="8" style="362" customWidth="1"/>
    <col min="13584" max="13586" width="5.140625" style="362" customWidth="1"/>
    <col min="13587" max="13587" width="1" style="362" customWidth="1"/>
    <col min="13588" max="13588" width="3" style="362" customWidth="1"/>
    <col min="13589" max="13589" width="9.140625" style="362" customWidth="1"/>
    <col min="13590" max="13825" width="10.42578125" style="362"/>
    <col min="13826" max="13826" width="7" style="362" customWidth="1"/>
    <col min="13827" max="13829" width="5.140625" style="362" customWidth="1"/>
    <col min="13830" max="13830" width="3.140625" style="362" customWidth="1"/>
    <col min="13831" max="13831" width="1.85546875" style="362" customWidth="1"/>
    <col min="13832" max="13832" width="7.140625" style="362" customWidth="1"/>
    <col min="13833" max="13833" width="1.5703125" style="362" customWidth="1"/>
    <col min="13834" max="13836" width="5.140625" style="362" customWidth="1"/>
    <col min="13837" max="13837" width="3.85546875" style="362" customWidth="1"/>
    <col min="13838" max="13838" width="5.140625" style="362" customWidth="1"/>
    <col min="13839" max="13839" width="8" style="362" customWidth="1"/>
    <col min="13840" max="13842" width="5.140625" style="362" customWidth="1"/>
    <col min="13843" max="13843" width="1" style="362" customWidth="1"/>
    <col min="13844" max="13844" width="3" style="362" customWidth="1"/>
    <col min="13845" max="13845" width="9.140625" style="362" customWidth="1"/>
    <col min="13846" max="14081" width="10.42578125" style="362"/>
    <col min="14082" max="14082" width="7" style="362" customWidth="1"/>
    <col min="14083" max="14085" width="5.140625" style="362" customWidth="1"/>
    <col min="14086" max="14086" width="3.140625" style="362" customWidth="1"/>
    <col min="14087" max="14087" width="1.85546875" style="362" customWidth="1"/>
    <col min="14088" max="14088" width="7.140625" style="362" customWidth="1"/>
    <col min="14089" max="14089" width="1.5703125" style="362" customWidth="1"/>
    <col min="14090" max="14092" width="5.140625" style="362" customWidth="1"/>
    <col min="14093" max="14093" width="3.85546875" style="362" customWidth="1"/>
    <col min="14094" max="14094" width="5.140625" style="362" customWidth="1"/>
    <col min="14095" max="14095" width="8" style="362" customWidth="1"/>
    <col min="14096" max="14098" width="5.140625" style="362" customWidth="1"/>
    <col min="14099" max="14099" width="1" style="362" customWidth="1"/>
    <col min="14100" max="14100" width="3" style="362" customWidth="1"/>
    <col min="14101" max="14101" width="9.140625" style="362" customWidth="1"/>
    <col min="14102" max="14337" width="10.42578125" style="362"/>
    <col min="14338" max="14338" width="7" style="362" customWidth="1"/>
    <col min="14339" max="14341" width="5.140625" style="362" customWidth="1"/>
    <col min="14342" max="14342" width="3.140625" style="362" customWidth="1"/>
    <col min="14343" max="14343" width="1.85546875" style="362" customWidth="1"/>
    <col min="14344" max="14344" width="7.140625" style="362" customWidth="1"/>
    <col min="14345" max="14345" width="1.5703125" style="362" customWidth="1"/>
    <col min="14346" max="14348" width="5.140625" style="362" customWidth="1"/>
    <col min="14349" max="14349" width="3.85546875" style="362" customWidth="1"/>
    <col min="14350" max="14350" width="5.140625" style="362" customWidth="1"/>
    <col min="14351" max="14351" width="8" style="362" customWidth="1"/>
    <col min="14352" max="14354" width="5.140625" style="362" customWidth="1"/>
    <col min="14355" max="14355" width="1" style="362" customWidth="1"/>
    <col min="14356" max="14356" width="3" style="362" customWidth="1"/>
    <col min="14357" max="14357" width="9.140625" style="362" customWidth="1"/>
    <col min="14358" max="14593" width="10.42578125" style="362"/>
    <col min="14594" max="14594" width="7" style="362" customWidth="1"/>
    <col min="14595" max="14597" width="5.140625" style="362" customWidth="1"/>
    <col min="14598" max="14598" width="3.140625" style="362" customWidth="1"/>
    <col min="14599" max="14599" width="1.85546875" style="362" customWidth="1"/>
    <col min="14600" max="14600" width="7.140625" style="362" customWidth="1"/>
    <col min="14601" max="14601" width="1.5703125" style="362" customWidth="1"/>
    <col min="14602" max="14604" width="5.140625" style="362" customWidth="1"/>
    <col min="14605" max="14605" width="3.85546875" style="362" customWidth="1"/>
    <col min="14606" max="14606" width="5.140625" style="362" customWidth="1"/>
    <col min="14607" max="14607" width="8" style="362" customWidth="1"/>
    <col min="14608" max="14610" width="5.140625" style="362" customWidth="1"/>
    <col min="14611" max="14611" width="1" style="362" customWidth="1"/>
    <col min="14612" max="14612" width="3" style="362" customWidth="1"/>
    <col min="14613" max="14613" width="9.140625" style="362" customWidth="1"/>
    <col min="14614" max="14849" width="10.42578125" style="362"/>
    <col min="14850" max="14850" width="7" style="362" customWidth="1"/>
    <col min="14851" max="14853" width="5.140625" style="362" customWidth="1"/>
    <col min="14854" max="14854" width="3.140625" style="362" customWidth="1"/>
    <col min="14855" max="14855" width="1.85546875" style="362" customWidth="1"/>
    <col min="14856" max="14856" width="7.140625" style="362" customWidth="1"/>
    <col min="14857" max="14857" width="1.5703125" style="362" customWidth="1"/>
    <col min="14858" max="14860" width="5.140625" style="362" customWidth="1"/>
    <col min="14861" max="14861" width="3.85546875" style="362" customWidth="1"/>
    <col min="14862" max="14862" width="5.140625" style="362" customWidth="1"/>
    <col min="14863" max="14863" width="8" style="362" customWidth="1"/>
    <col min="14864" max="14866" width="5.140625" style="362" customWidth="1"/>
    <col min="14867" max="14867" width="1" style="362" customWidth="1"/>
    <col min="14868" max="14868" width="3" style="362" customWidth="1"/>
    <col min="14869" max="14869" width="9.140625" style="362" customWidth="1"/>
    <col min="14870" max="15105" width="10.42578125" style="362"/>
    <col min="15106" max="15106" width="7" style="362" customWidth="1"/>
    <col min="15107" max="15109" width="5.140625" style="362" customWidth="1"/>
    <col min="15110" max="15110" width="3.140625" style="362" customWidth="1"/>
    <col min="15111" max="15111" width="1.85546875" style="362" customWidth="1"/>
    <col min="15112" max="15112" width="7.140625" style="362" customWidth="1"/>
    <col min="15113" max="15113" width="1.5703125" style="362" customWidth="1"/>
    <col min="15114" max="15116" width="5.140625" style="362" customWidth="1"/>
    <col min="15117" max="15117" width="3.85546875" style="362" customWidth="1"/>
    <col min="15118" max="15118" width="5.140625" style="362" customWidth="1"/>
    <col min="15119" max="15119" width="8" style="362" customWidth="1"/>
    <col min="15120" max="15122" width="5.140625" style="362" customWidth="1"/>
    <col min="15123" max="15123" width="1" style="362" customWidth="1"/>
    <col min="15124" max="15124" width="3" style="362" customWidth="1"/>
    <col min="15125" max="15125" width="9.140625" style="362" customWidth="1"/>
    <col min="15126" max="15361" width="10.42578125" style="362"/>
    <col min="15362" max="15362" width="7" style="362" customWidth="1"/>
    <col min="15363" max="15365" width="5.140625" style="362" customWidth="1"/>
    <col min="15366" max="15366" width="3.140625" style="362" customWidth="1"/>
    <col min="15367" max="15367" width="1.85546875" style="362" customWidth="1"/>
    <col min="15368" max="15368" width="7.140625" style="362" customWidth="1"/>
    <col min="15369" max="15369" width="1.5703125" style="362" customWidth="1"/>
    <col min="15370" max="15372" width="5.140625" style="362" customWidth="1"/>
    <col min="15373" max="15373" width="3.85546875" style="362" customWidth="1"/>
    <col min="15374" max="15374" width="5.140625" style="362" customWidth="1"/>
    <col min="15375" max="15375" width="8" style="362" customWidth="1"/>
    <col min="15376" max="15378" width="5.140625" style="362" customWidth="1"/>
    <col min="15379" max="15379" width="1" style="362" customWidth="1"/>
    <col min="15380" max="15380" width="3" style="362" customWidth="1"/>
    <col min="15381" max="15381" width="9.140625" style="362" customWidth="1"/>
    <col min="15382" max="15617" width="10.42578125" style="362"/>
    <col min="15618" max="15618" width="7" style="362" customWidth="1"/>
    <col min="15619" max="15621" width="5.140625" style="362" customWidth="1"/>
    <col min="15622" max="15622" width="3.140625" style="362" customWidth="1"/>
    <col min="15623" max="15623" width="1.85546875" style="362" customWidth="1"/>
    <col min="15624" max="15624" width="7.140625" style="362" customWidth="1"/>
    <col min="15625" max="15625" width="1.5703125" style="362" customWidth="1"/>
    <col min="15626" max="15628" width="5.140625" style="362" customWidth="1"/>
    <col min="15629" max="15629" width="3.85546875" style="362" customWidth="1"/>
    <col min="15630" max="15630" width="5.140625" style="362" customWidth="1"/>
    <col min="15631" max="15631" width="8" style="362" customWidth="1"/>
    <col min="15632" max="15634" width="5.140625" style="362" customWidth="1"/>
    <col min="15635" max="15635" width="1" style="362" customWidth="1"/>
    <col min="15636" max="15636" width="3" style="362" customWidth="1"/>
    <col min="15637" max="15637" width="9.140625" style="362" customWidth="1"/>
    <col min="15638" max="15873" width="10.42578125" style="362"/>
    <col min="15874" max="15874" width="7" style="362" customWidth="1"/>
    <col min="15875" max="15877" width="5.140625" style="362" customWidth="1"/>
    <col min="15878" max="15878" width="3.140625" style="362" customWidth="1"/>
    <col min="15879" max="15879" width="1.85546875" style="362" customWidth="1"/>
    <col min="15880" max="15880" width="7.140625" style="362" customWidth="1"/>
    <col min="15881" max="15881" width="1.5703125" style="362" customWidth="1"/>
    <col min="15882" max="15884" width="5.140625" style="362" customWidth="1"/>
    <col min="15885" max="15885" width="3.85546875" style="362" customWidth="1"/>
    <col min="15886" max="15886" width="5.140625" style="362" customWidth="1"/>
    <col min="15887" max="15887" width="8" style="362" customWidth="1"/>
    <col min="15888" max="15890" width="5.140625" style="362" customWidth="1"/>
    <col min="15891" max="15891" width="1" style="362" customWidth="1"/>
    <col min="15892" max="15892" width="3" style="362" customWidth="1"/>
    <col min="15893" max="15893" width="9.140625" style="362" customWidth="1"/>
    <col min="15894" max="16129" width="10.42578125" style="362"/>
    <col min="16130" max="16130" width="7" style="362" customWidth="1"/>
    <col min="16131" max="16133" width="5.140625" style="362" customWidth="1"/>
    <col min="16134" max="16134" width="3.140625" style="362" customWidth="1"/>
    <col min="16135" max="16135" width="1.85546875" style="362" customWidth="1"/>
    <col min="16136" max="16136" width="7.140625" style="362" customWidth="1"/>
    <col min="16137" max="16137" width="1.5703125" style="362" customWidth="1"/>
    <col min="16138" max="16140" width="5.140625" style="362" customWidth="1"/>
    <col min="16141" max="16141" width="3.85546875" style="362" customWidth="1"/>
    <col min="16142" max="16142" width="5.140625" style="362" customWidth="1"/>
    <col min="16143" max="16143" width="8" style="362" customWidth="1"/>
    <col min="16144" max="16146" width="5.140625" style="362" customWidth="1"/>
    <col min="16147" max="16147" width="1" style="362" customWidth="1"/>
    <col min="16148" max="16148" width="3" style="362" customWidth="1"/>
    <col min="16149" max="16149" width="9.140625" style="362" customWidth="1"/>
    <col min="16150" max="16384" width="10.42578125" style="362"/>
  </cols>
  <sheetData>
    <row r="1" spans="2:25" ht="24.95" customHeight="1">
      <c r="B1" s="745" t="s">
        <v>221</v>
      </c>
      <c r="C1" s="745"/>
      <c r="D1" s="745"/>
      <c r="E1" s="745"/>
      <c r="F1" s="745"/>
      <c r="G1" s="745"/>
      <c r="H1" s="745"/>
      <c r="I1" s="745"/>
      <c r="J1" s="745"/>
      <c r="K1" s="745"/>
      <c r="L1" s="745"/>
      <c r="M1" s="745"/>
      <c r="N1" s="745"/>
      <c r="O1" s="745"/>
      <c r="P1" s="745"/>
      <c r="Q1" s="745"/>
      <c r="R1" s="745"/>
      <c r="S1" s="745"/>
      <c r="T1" s="745"/>
      <c r="U1" s="361" t="s">
        <v>112</v>
      </c>
    </row>
    <row r="2" spans="2:25" s="364" customFormat="1" ht="21" customHeight="1">
      <c r="B2" s="363"/>
      <c r="C2" s="746" t="s">
        <v>113</v>
      </c>
      <c r="D2" s="723"/>
      <c r="E2" s="723"/>
      <c r="F2" s="746" t="s">
        <v>220</v>
      </c>
      <c r="G2" s="723"/>
      <c r="H2" s="723"/>
      <c r="I2" s="723"/>
      <c r="J2" s="723"/>
      <c r="K2" s="723"/>
      <c r="L2" s="723"/>
      <c r="M2" s="723"/>
      <c r="N2" s="723"/>
      <c r="O2" s="723"/>
      <c r="P2" s="723"/>
      <c r="Q2" s="723"/>
      <c r="R2" s="723"/>
      <c r="S2" s="723"/>
      <c r="T2" s="723"/>
      <c r="U2" s="723"/>
    </row>
    <row r="3" spans="2:25" ht="21" customHeight="1">
      <c r="B3" s="365"/>
      <c r="C3" s="747" t="s">
        <v>114</v>
      </c>
      <c r="D3" s="706"/>
      <c r="E3" s="706"/>
      <c r="F3" s="747" t="s">
        <v>184</v>
      </c>
      <c r="G3" s="706"/>
      <c r="H3" s="706"/>
      <c r="I3" s="706"/>
      <c r="J3" s="706"/>
      <c r="K3" s="706"/>
      <c r="L3" s="706"/>
      <c r="M3" s="706"/>
      <c r="N3" s="706"/>
      <c r="O3" s="706"/>
      <c r="P3" s="706"/>
      <c r="Q3" s="706"/>
      <c r="R3" s="706"/>
      <c r="S3" s="706"/>
      <c r="T3" s="706"/>
      <c r="U3" s="706"/>
    </row>
    <row r="4" spans="2:25" ht="21" customHeight="1">
      <c r="B4" s="365"/>
      <c r="C4" s="366" t="s">
        <v>116</v>
      </c>
      <c r="D4" s="366"/>
      <c r="E4" s="366"/>
      <c r="F4" s="706" t="s">
        <v>183</v>
      </c>
      <c r="G4" s="706"/>
      <c r="H4" s="706"/>
      <c r="I4" s="706"/>
      <c r="J4" s="706"/>
      <c r="K4" s="706"/>
      <c r="L4" s="706"/>
      <c r="M4" s="706"/>
      <c r="N4" s="706"/>
      <c r="O4" s="706"/>
      <c r="P4" s="706"/>
      <c r="Q4" s="706"/>
      <c r="R4" s="706"/>
      <c r="S4" s="706"/>
      <c r="T4" s="706"/>
      <c r="U4" s="706"/>
    </row>
    <row r="5" spans="2:25" ht="21" customHeight="1">
      <c r="B5" s="365"/>
      <c r="C5" s="366" t="s">
        <v>119</v>
      </c>
      <c r="D5" s="367"/>
      <c r="E5" s="367"/>
      <c r="F5" s="366" t="s">
        <v>120</v>
      </c>
      <c r="G5" s="367"/>
      <c r="H5" s="367"/>
      <c r="I5" s="366"/>
      <c r="J5" s="367"/>
      <c r="K5" s="367"/>
      <c r="L5" s="367"/>
      <c r="M5" s="367"/>
      <c r="N5" s="367"/>
      <c r="O5" s="367"/>
      <c r="P5" s="367"/>
      <c r="Q5" s="367"/>
      <c r="R5" s="367"/>
      <c r="S5" s="367"/>
      <c r="T5" s="367"/>
      <c r="U5" s="367"/>
    </row>
    <row r="6" spans="2:25" ht="21" customHeight="1">
      <c r="B6" s="365"/>
      <c r="C6" s="747" t="s">
        <v>121</v>
      </c>
      <c r="D6" s="706"/>
      <c r="E6" s="747" t="s">
        <v>196</v>
      </c>
      <c r="F6" s="706"/>
      <c r="G6" s="706"/>
      <c r="H6" s="706"/>
      <c r="I6" s="706"/>
      <c r="J6" s="706"/>
      <c r="K6" s="706"/>
      <c r="L6" s="706"/>
      <c r="M6" s="706"/>
      <c r="N6" s="706"/>
      <c r="O6" s="706"/>
      <c r="P6" s="706"/>
      <c r="Q6" s="706"/>
      <c r="R6" s="706"/>
      <c r="S6" s="706"/>
      <c r="T6" s="706"/>
      <c r="U6" s="706"/>
    </row>
    <row r="7" spans="2:25" ht="21" customHeight="1">
      <c r="B7" s="365"/>
      <c r="C7" s="366" t="s">
        <v>122</v>
      </c>
      <c r="D7" s="366"/>
      <c r="E7" s="366"/>
      <c r="F7" s="366"/>
      <c r="G7" s="366"/>
      <c r="H7" s="366"/>
      <c r="I7" s="368"/>
      <c r="J7" s="748" t="s">
        <v>3</v>
      </c>
      <c r="K7" s="748"/>
      <c r="L7" s="369">
        <v>5</v>
      </c>
      <c r="M7" s="366" t="s">
        <v>57</v>
      </c>
      <c r="N7" s="367"/>
      <c r="O7" s="367"/>
      <c r="P7" s="367"/>
      <c r="Q7" s="367"/>
      <c r="R7" s="367"/>
      <c r="S7" s="367"/>
      <c r="T7" s="367"/>
      <c r="U7" s="367"/>
    </row>
    <row r="8" spans="2:25" ht="21" customHeight="1">
      <c r="B8" s="365"/>
      <c r="C8" s="705" t="s">
        <v>219</v>
      </c>
      <c r="D8" s="706"/>
      <c r="E8" s="706"/>
      <c r="F8" s="706"/>
      <c r="G8" s="706"/>
      <c r="H8" s="706"/>
      <c r="I8" s="706"/>
      <c r="J8" s="706"/>
      <c r="K8" s="706"/>
      <c r="L8" s="706"/>
      <c r="M8" s="706"/>
      <c r="N8" s="706"/>
      <c r="O8" s="706"/>
      <c r="P8" s="706"/>
      <c r="Q8" s="706"/>
      <c r="R8" s="706"/>
      <c r="S8" s="706"/>
      <c r="T8" s="706"/>
      <c r="U8" s="706"/>
    </row>
    <row r="9" spans="2:25" ht="21" customHeight="1" thickBot="1">
      <c r="C9" s="707"/>
      <c r="D9" s="708"/>
      <c r="E9" s="708"/>
      <c r="F9" s="708"/>
      <c r="G9" s="708"/>
      <c r="H9" s="708"/>
      <c r="I9" s="708"/>
      <c r="J9" s="708"/>
      <c r="K9" s="708"/>
      <c r="L9" s="708"/>
      <c r="M9" s="708"/>
      <c r="N9" s="708"/>
      <c r="O9" s="708"/>
      <c r="P9" s="708"/>
      <c r="Q9" s="708"/>
      <c r="R9" s="708"/>
      <c r="S9" s="708"/>
      <c r="T9" s="708"/>
      <c r="U9" s="708"/>
    </row>
    <row r="10" spans="2:25" s="370" customFormat="1" ht="21" customHeight="1" thickTop="1">
      <c r="B10" s="709" t="s">
        <v>1</v>
      </c>
      <c r="C10" s="711" t="s">
        <v>2</v>
      </c>
      <c r="D10" s="712"/>
      <c r="E10" s="712"/>
      <c r="F10" s="712"/>
      <c r="G10" s="712"/>
      <c r="H10" s="712"/>
      <c r="I10" s="713"/>
      <c r="J10" s="717" t="s">
        <v>123</v>
      </c>
      <c r="K10" s="718"/>
      <c r="L10" s="718"/>
      <c r="M10" s="719"/>
      <c r="N10" s="711" t="s">
        <v>124</v>
      </c>
      <c r="O10" s="713"/>
      <c r="P10" s="717" t="s">
        <v>125</v>
      </c>
      <c r="Q10" s="718"/>
      <c r="R10" s="718"/>
      <c r="S10" s="719"/>
      <c r="T10" s="711" t="s">
        <v>8</v>
      </c>
      <c r="U10" s="713"/>
    </row>
    <row r="11" spans="2:25" s="370" customFormat="1" ht="21" customHeight="1" thickBot="1">
      <c r="B11" s="710"/>
      <c r="C11" s="714"/>
      <c r="D11" s="715"/>
      <c r="E11" s="715"/>
      <c r="F11" s="715"/>
      <c r="G11" s="715"/>
      <c r="H11" s="715"/>
      <c r="I11" s="716"/>
      <c r="J11" s="733" t="s">
        <v>126</v>
      </c>
      <c r="K11" s="734"/>
      <c r="L11" s="734"/>
      <c r="M11" s="735"/>
      <c r="N11" s="714"/>
      <c r="O11" s="716"/>
      <c r="P11" s="733" t="s">
        <v>127</v>
      </c>
      <c r="Q11" s="734"/>
      <c r="R11" s="734"/>
      <c r="S11" s="735"/>
      <c r="T11" s="714"/>
      <c r="U11" s="716"/>
      <c r="Y11" s="371">
        <f>P23</f>
        <v>1643296.6571911199</v>
      </c>
    </row>
    <row r="12" spans="2:25" s="373" customFormat="1" ht="21" customHeight="1" thickTop="1">
      <c r="B12" s="372">
        <v>1</v>
      </c>
      <c r="C12" s="736" t="s">
        <v>128</v>
      </c>
      <c r="D12" s="737"/>
      <c r="E12" s="737"/>
      <c r="F12" s="737"/>
      <c r="G12" s="737"/>
      <c r="H12" s="737"/>
      <c r="I12" s="738"/>
      <c r="J12" s="739">
        <f>'ปร.4 - 20 คัน(อัยการ)'!J23</f>
        <v>1257881.7032999999</v>
      </c>
      <c r="K12" s="740"/>
      <c r="L12" s="740"/>
      <c r="M12" s="741"/>
      <c r="N12" s="742">
        <v>1.3064</v>
      </c>
      <c r="O12" s="743"/>
      <c r="P12" s="739">
        <f>J12*N12</f>
        <v>1643296.6571911199</v>
      </c>
      <c r="Q12" s="740"/>
      <c r="R12" s="740"/>
      <c r="S12" s="741"/>
      <c r="T12" s="744"/>
      <c r="U12" s="738"/>
      <c r="W12" s="374">
        <f>P12</f>
        <v>1643296.6571911199</v>
      </c>
      <c r="Y12" s="375">
        <v>14600000</v>
      </c>
    </row>
    <row r="13" spans="2:25" s="373" customFormat="1" ht="21" customHeight="1">
      <c r="B13" s="376"/>
      <c r="C13" s="722"/>
      <c r="D13" s="723"/>
      <c r="E13" s="723"/>
      <c r="F13" s="723"/>
      <c r="G13" s="723"/>
      <c r="H13" s="723"/>
      <c r="I13" s="724"/>
      <c r="J13" s="725"/>
      <c r="K13" s="726"/>
      <c r="L13" s="726"/>
      <c r="M13" s="727"/>
      <c r="N13" s="728"/>
      <c r="O13" s="729"/>
      <c r="P13" s="739"/>
      <c r="Q13" s="740"/>
      <c r="R13" s="740"/>
      <c r="S13" s="741"/>
      <c r="T13" s="720"/>
      <c r="U13" s="721"/>
      <c r="W13" s="374">
        <f>J12</f>
        <v>1257881.7032999999</v>
      </c>
    </row>
    <row r="14" spans="2:25" s="373" customFormat="1" ht="21" customHeight="1">
      <c r="B14" s="377"/>
      <c r="C14" s="722"/>
      <c r="D14" s="723"/>
      <c r="E14" s="723"/>
      <c r="F14" s="723"/>
      <c r="G14" s="723"/>
      <c r="H14" s="723"/>
      <c r="I14" s="724"/>
      <c r="J14" s="725"/>
      <c r="K14" s="726"/>
      <c r="L14" s="726"/>
      <c r="M14" s="727"/>
      <c r="N14" s="728"/>
      <c r="O14" s="729"/>
      <c r="P14" s="730"/>
      <c r="Q14" s="731"/>
      <c r="R14" s="731"/>
      <c r="S14" s="732"/>
      <c r="T14" s="378"/>
      <c r="U14" s="379"/>
      <c r="W14" s="374">
        <f>W12-W13</f>
        <v>385414.95389111992</v>
      </c>
      <c r="Y14" s="374">
        <f>Y11-Y12</f>
        <v>-12956703.34280888</v>
      </c>
    </row>
    <row r="15" spans="2:25" s="373" customFormat="1" ht="21" customHeight="1">
      <c r="B15" s="376"/>
      <c r="C15" s="380"/>
      <c r="D15" s="381"/>
      <c r="E15" s="381"/>
      <c r="F15" s="381"/>
      <c r="G15" s="381"/>
      <c r="H15" s="381"/>
      <c r="I15" s="382"/>
      <c r="J15" s="725"/>
      <c r="K15" s="726"/>
      <c r="L15" s="726"/>
      <c r="M15" s="727"/>
      <c r="N15" s="383"/>
      <c r="O15" s="384"/>
      <c r="P15" s="730"/>
      <c r="Q15" s="731"/>
      <c r="R15" s="731"/>
      <c r="S15" s="732"/>
      <c r="T15" s="385"/>
      <c r="U15" s="386"/>
      <c r="V15" s="373">
        <v>1.07</v>
      </c>
      <c r="W15" s="374"/>
      <c r="Y15" s="374"/>
    </row>
    <row r="16" spans="2:25" ht="21" customHeight="1">
      <c r="B16" s="387"/>
      <c r="C16" s="722"/>
      <c r="D16" s="723"/>
      <c r="E16" s="723"/>
      <c r="F16" s="723"/>
      <c r="G16" s="723"/>
      <c r="H16" s="723"/>
      <c r="I16" s="724"/>
      <c r="J16" s="725"/>
      <c r="K16" s="726"/>
      <c r="L16" s="726"/>
      <c r="M16" s="727"/>
      <c r="N16" s="728"/>
      <c r="O16" s="729"/>
      <c r="P16" s="749"/>
      <c r="Q16" s="750"/>
      <c r="R16" s="750"/>
      <c r="S16" s="751"/>
      <c r="T16" s="720"/>
      <c r="U16" s="721"/>
      <c r="W16" s="362">
        <v>1257881.7</v>
      </c>
    </row>
    <row r="17" spans="2:23" ht="21" customHeight="1">
      <c r="B17" s="387"/>
      <c r="C17" s="758" t="s">
        <v>129</v>
      </c>
      <c r="D17" s="759"/>
      <c r="E17" s="759"/>
      <c r="F17" s="759"/>
      <c r="G17" s="759"/>
      <c r="H17" s="759"/>
      <c r="I17" s="760"/>
      <c r="J17" s="728"/>
      <c r="K17" s="757"/>
      <c r="L17" s="757"/>
      <c r="M17" s="729"/>
      <c r="N17" s="728"/>
      <c r="O17" s="729"/>
      <c r="P17" s="749"/>
      <c r="Q17" s="750"/>
      <c r="R17" s="750"/>
      <c r="S17" s="751"/>
      <c r="T17" s="720"/>
      <c r="U17" s="721"/>
    </row>
    <row r="18" spans="2:23" ht="21" customHeight="1">
      <c r="B18" s="387"/>
      <c r="C18" s="752" t="s">
        <v>130</v>
      </c>
      <c r="D18" s="753"/>
      <c r="E18" s="753"/>
      <c r="F18" s="753"/>
      <c r="G18" s="753"/>
      <c r="H18" s="754">
        <v>0</v>
      </c>
      <c r="I18" s="755"/>
      <c r="J18" s="756"/>
      <c r="K18" s="757"/>
      <c r="L18" s="757"/>
      <c r="M18" s="729"/>
      <c r="N18" s="728"/>
      <c r="O18" s="729"/>
      <c r="P18" s="749"/>
      <c r="Q18" s="750"/>
      <c r="R18" s="750"/>
      <c r="S18" s="751"/>
      <c r="T18" s="720"/>
      <c r="U18" s="721"/>
    </row>
    <row r="19" spans="2:23" ht="21" customHeight="1">
      <c r="B19" s="387"/>
      <c r="C19" s="761" t="s">
        <v>131</v>
      </c>
      <c r="D19" s="762"/>
      <c r="E19" s="762"/>
      <c r="F19" s="762"/>
      <c r="G19" s="762"/>
      <c r="H19" s="763">
        <v>0</v>
      </c>
      <c r="I19" s="764"/>
      <c r="J19" s="728"/>
      <c r="K19" s="757"/>
      <c r="L19" s="757"/>
      <c r="M19" s="729"/>
      <c r="N19" s="728"/>
      <c r="O19" s="729"/>
      <c r="P19" s="749"/>
      <c r="Q19" s="750"/>
      <c r="R19" s="750"/>
      <c r="S19" s="751"/>
      <c r="T19" s="720"/>
      <c r="U19" s="721"/>
    </row>
    <row r="20" spans="2:23" ht="21" customHeight="1">
      <c r="B20" s="387"/>
      <c r="C20" s="761" t="s">
        <v>132</v>
      </c>
      <c r="D20" s="762"/>
      <c r="E20" s="762"/>
      <c r="F20" s="762"/>
      <c r="G20" s="762"/>
      <c r="H20" s="763">
        <v>7</v>
      </c>
      <c r="I20" s="764"/>
      <c r="J20" s="728"/>
      <c r="K20" s="757"/>
      <c r="L20" s="757"/>
      <c r="M20" s="729"/>
      <c r="N20" s="728"/>
      <c r="O20" s="729"/>
      <c r="P20" s="749"/>
      <c r="Q20" s="750"/>
      <c r="R20" s="750"/>
      <c r="S20" s="751"/>
      <c r="T20" s="720"/>
      <c r="U20" s="721"/>
    </row>
    <row r="21" spans="2:23" ht="21" customHeight="1" thickBot="1">
      <c r="B21" s="388"/>
      <c r="C21" s="777" t="s">
        <v>133</v>
      </c>
      <c r="D21" s="708"/>
      <c r="E21" s="708"/>
      <c r="F21" s="708"/>
      <c r="G21" s="708"/>
      <c r="H21" s="778">
        <v>7</v>
      </c>
      <c r="I21" s="779"/>
      <c r="J21" s="780"/>
      <c r="K21" s="781"/>
      <c r="L21" s="781"/>
      <c r="M21" s="782"/>
      <c r="N21" s="780"/>
      <c r="O21" s="782"/>
      <c r="P21" s="783"/>
      <c r="Q21" s="784"/>
      <c r="R21" s="784"/>
      <c r="S21" s="785"/>
      <c r="T21" s="786"/>
      <c r="U21" s="787"/>
    </row>
    <row r="22" spans="2:23" ht="21" customHeight="1" thickTop="1">
      <c r="B22" s="389" t="s">
        <v>134</v>
      </c>
      <c r="C22" s="765" t="s">
        <v>135</v>
      </c>
      <c r="D22" s="723"/>
      <c r="E22" s="723"/>
      <c r="F22" s="723"/>
      <c r="G22" s="723"/>
      <c r="H22" s="723"/>
      <c r="I22" s="723"/>
      <c r="J22" s="723"/>
      <c r="K22" s="723"/>
      <c r="L22" s="723"/>
      <c r="M22" s="723"/>
      <c r="N22" s="723"/>
      <c r="O22" s="724"/>
      <c r="P22" s="766">
        <f>SUM(P12:S21)</f>
        <v>1643296.6571911199</v>
      </c>
      <c r="Q22" s="767"/>
      <c r="R22" s="767"/>
      <c r="S22" s="768"/>
      <c r="T22" s="772"/>
      <c r="U22" s="773"/>
    </row>
    <row r="23" spans="2:23" ht="21" customHeight="1" thickBot="1">
      <c r="B23" s="388"/>
      <c r="C23" s="769" t="str">
        <f>+(BAHTTEXT((P23)))</f>
        <v>หนึ่งล้านหกแสนสี่หมื่นสามพันสองร้อยเก้าสิบหกบาทหกสิบหกสตางค์</v>
      </c>
      <c r="D23" s="770"/>
      <c r="E23" s="770"/>
      <c r="F23" s="770"/>
      <c r="G23" s="770"/>
      <c r="H23" s="770"/>
      <c r="I23" s="770"/>
      <c r="J23" s="770"/>
      <c r="K23" s="770"/>
      <c r="L23" s="770"/>
      <c r="M23" s="770"/>
      <c r="N23" s="770"/>
      <c r="O23" s="771"/>
      <c r="P23" s="774">
        <f>P22</f>
        <v>1643296.6571911199</v>
      </c>
      <c r="Q23" s="775"/>
      <c r="R23" s="775"/>
      <c r="S23" s="776"/>
      <c r="T23" s="390" t="s">
        <v>137</v>
      </c>
      <c r="U23" s="391"/>
    </row>
    <row r="24" spans="2:23" ht="21" customHeight="1" thickTop="1">
      <c r="B24" s="392"/>
      <c r="C24" s="393" t="s">
        <v>221</v>
      </c>
      <c r="D24" s="394"/>
      <c r="E24" s="394"/>
      <c r="F24" s="394"/>
      <c r="G24" s="394"/>
      <c r="H24" s="394"/>
      <c r="I24" s="395"/>
      <c r="J24" s="396"/>
      <c r="K24" s="396"/>
      <c r="L24" s="396"/>
      <c r="M24" s="396"/>
      <c r="N24" s="397"/>
      <c r="O24" s="396"/>
      <c r="P24" s="396"/>
      <c r="Q24" s="396"/>
      <c r="R24" s="396"/>
      <c r="S24" s="396"/>
      <c r="T24" s="396"/>
      <c r="U24" s="396"/>
    </row>
    <row r="25" spans="2:23" ht="21" customHeight="1">
      <c r="B25" s="392"/>
      <c r="C25" s="393"/>
      <c r="D25" s="394"/>
      <c r="E25" s="394"/>
      <c r="F25" s="394"/>
      <c r="G25" s="394"/>
      <c r="H25" s="394"/>
      <c r="I25" s="395"/>
      <c r="J25" s="396"/>
      <c r="K25" s="396"/>
      <c r="L25" s="396"/>
      <c r="M25" s="396"/>
      <c r="N25" s="396"/>
      <c r="O25" s="396"/>
      <c r="P25" s="396"/>
      <c r="Q25" s="396"/>
      <c r="R25" s="396"/>
      <c r="S25" s="396"/>
      <c r="T25" s="396"/>
      <c r="U25" s="396"/>
    </row>
    <row r="26" spans="2:23" ht="21" customHeight="1">
      <c r="B26" s="392"/>
      <c r="C26" s="393"/>
      <c r="D26" s="394"/>
      <c r="E26" s="394"/>
      <c r="F26" s="394"/>
      <c r="G26" s="394"/>
      <c r="H26" s="394"/>
      <c r="I26" s="395"/>
      <c r="J26" s="396"/>
      <c r="K26" s="396"/>
      <c r="L26" s="396"/>
      <c r="M26" s="396"/>
      <c r="N26" s="396"/>
      <c r="O26" s="396"/>
      <c r="P26" s="396"/>
      <c r="Q26" s="396"/>
      <c r="R26" s="396"/>
      <c r="S26" s="396"/>
      <c r="T26" s="396"/>
      <c r="U26" s="396"/>
    </row>
    <row r="27" spans="2:23" s="401" customFormat="1" ht="20.25" customHeight="1">
      <c r="B27" s="398"/>
      <c r="C27" s="398"/>
      <c r="D27" s="399"/>
      <c r="E27" s="399"/>
      <c r="F27" s="399"/>
      <c r="G27" s="400"/>
      <c r="H27" s="398"/>
      <c r="I27" s="398"/>
      <c r="J27" s="398"/>
      <c r="K27" s="398"/>
      <c r="L27" s="400"/>
      <c r="M27" s="400"/>
      <c r="N27" s="400"/>
      <c r="O27" s="400"/>
      <c r="P27" s="400"/>
      <c r="Q27" s="400"/>
      <c r="R27" s="400"/>
      <c r="S27" s="400"/>
      <c r="T27" s="400"/>
      <c r="U27" s="400"/>
      <c r="V27" s="398"/>
      <c r="W27" s="398"/>
    </row>
    <row r="28" spans="2:23" ht="21" customHeight="1">
      <c r="B28" s="402"/>
      <c r="C28" s="403"/>
      <c r="D28" s="403"/>
      <c r="E28" s="404"/>
      <c r="F28" s="405"/>
      <c r="G28" s="403"/>
      <c r="H28" s="406"/>
      <c r="I28" s="407"/>
      <c r="J28" s="407"/>
      <c r="K28" s="408"/>
      <c r="L28" s="407"/>
      <c r="M28" s="407"/>
      <c r="N28" s="409"/>
      <c r="O28" s="407"/>
      <c r="P28" s="407"/>
      <c r="Q28" s="405"/>
      <c r="R28" s="403"/>
      <c r="S28" s="410"/>
      <c r="T28" s="403"/>
      <c r="U28" s="403"/>
    </row>
    <row r="29" spans="2:23">
      <c r="B29" s="411"/>
      <c r="C29" s="411"/>
      <c r="D29" s="411"/>
      <c r="E29" s="411"/>
      <c r="F29" s="411"/>
      <c r="G29" s="411"/>
      <c r="H29" s="411"/>
      <c r="I29" s="402"/>
      <c r="J29" s="403"/>
      <c r="K29" s="403"/>
      <c r="L29" s="404"/>
      <c r="M29" s="405"/>
      <c r="N29" s="403"/>
      <c r="O29" s="410"/>
      <c r="P29" s="411"/>
      <c r="Q29" s="411"/>
      <c r="R29" s="411"/>
      <c r="S29" s="411"/>
      <c r="T29" s="411"/>
      <c r="U29" s="411"/>
    </row>
    <row r="30" spans="2:23">
      <c r="I30" s="412"/>
      <c r="J30" s="413"/>
      <c r="K30" s="413"/>
      <c r="L30" s="414"/>
      <c r="M30" s="415"/>
      <c r="N30" s="413"/>
      <c r="O30" s="416"/>
    </row>
    <row r="31" spans="2:23" ht="21" customHeight="1">
      <c r="C31" s="417"/>
      <c r="E31" s="418"/>
      <c r="I31" s="412"/>
      <c r="J31" s="413"/>
      <c r="K31" s="413"/>
      <c r="L31" s="414"/>
      <c r="M31" s="415"/>
      <c r="N31" s="413"/>
      <c r="O31" s="416"/>
      <c r="Q31" s="418"/>
      <c r="U31" s="419"/>
    </row>
    <row r="32" spans="2:23" ht="21" customHeight="1">
      <c r="E32" s="418"/>
      <c r="K32" s="418"/>
      <c r="Q32" s="418"/>
      <c r="U32" s="419"/>
    </row>
    <row r="33" spans="2:20" ht="21" customHeight="1">
      <c r="E33" s="418"/>
      <c r="K33" s="418"/>
      <c r="Q33" s="418"/>
    </row>
    <row r="34" spans="2:20" ht="21" customHeight="1"/>
    <row r="35" spans="2:20" ht="21" customHeight="1"/>
    <row r="36" spans="2:20" ht="21" customHeight="1">
      <c r="B36" s="419"/>
      <c r="K36" s="417"/>
      <c r="L36" s="417"/>
      <c r="N36" s="418"/>
    </row>
    <row r="37" spans="2:20" ht="21" customHeight="1">
      <c r="B37" s="419"/>
      <c r="N37" s="418"/>
    </row>
    <row r="38" spans="2:20" ht="21" customHeight="1">
      <c r="B38" s="419"/>
      <c r="N38" s="418"/>
    </row>
    <row r="39" spans="2:20" ht="21" customHeight="1">
      <c r="B39" s="419"/>
    </row>
    <row r="40" spans="2:20" ht="21" customHeight="1">
      <c r="C40" s="417"/>
      <c r="E40" s="418"/>
      <c r="F40" s="418"/>
      <c r="G40" s="418"/>
      <c r="L40" s="417"/>
      <c r="N40" s="418"/>
      <c r="R40" s="417"/>
      <c r="S40" s="417"/>
      <c r="T40" s="417"/>
    </row>
    <row r="41" spans="2:20" ht="21" customHeight="1">
      <c r="E41" s="418"/>
      <c r="F41" s="418"/>
      <c r="G41" s="418"/>
      <c r="N41" s="418"/>
    </row>
    <row r="42" spans="2:20" ht="21" customHeight="1">
      <c r="E42" s="418"/>
      <c r="F42" s="418"/>
      <c r="G42" s="418"/>
      <c r="N42" s="418"/>
    </row>
    <row r="43" spans="2:20" ht="21" customHeight="1">
      <c r="B43" s="419"/>
    </row>
    <row r="44" spans="2:20" ht="21" customHeight="1">
      <c r="C44" s="417"/>
      <c r="E44" s="418"/>
      <c r="F44" s="418"/>
      <c r="G44" s="418"/>
      <c r="L44" s="417"/>
      <c r="N44" s="418"/>
      <c r="R44" s="417"/>
      <c r="S44" s="417"/>
      <c r="T44" s="417"/>
    </row>
    <row r="45" spans="2:20">
      <c r="E45" s="418"/>
      <c r="F45" s="418"/>
      <c r="G45" s="418"/>
      <c r="N45" s="418"/>
    </row>
    <row r="46" spans="2:20">
      <c r="E46" s="418"/>
      <c r="F46" s="418"/>
      <c r="G46" s="418"/>
      <c r="N46" s="418"/>
    </row>
    <row r="47" spans="2:20">
      <c r="B47" s="419"/>
    </row>
    <row r="48" spans="2:20">
      <c r="C48" s="417"/>
      <c r="E48" s="418"/>
      <c r="F48" s="418"/>
      <c r="G48" s="418"/>
      <c r="L48" s="417"/>
      <c r="N48" s="418"/>
      <c r="R48" s="417"/>
      <c r="S48" s="417"/>
      <c r="T48" s="417"/>
    </row>
    <row r="49" spans="5:14">
      <c r="E49" s="418"/>
      <c r="F49" s="418"/>
      <c r="G49" s="418"/>
      <c r="N49" s="418"/>
    </row>
  </sheetData>
  <mergeCells count="74">
    <mergeCell ref="C22:O22"/>
    <mergeCell ref="P22:S22"/>
    <mergeCell ref="C23:O23"/>
    <mergeCell ref="T22:U22"/>
    <mergeCell ref="P23:S23"/>
    <mergeCell ref="C21:G21"/>
    <mergeCell ref="H21:I21"/>
    <mergeCell ref="J21:M21"/>
    <mergeCell ref="N21:O21"/>
    <mergeCell ref="P21:S21"/>
    <mergeCell ref="T21:U21"/>
    <mergeCell ref="C20:G20"/>
    <mergeCell ref="H20:I20"/>
    <mergeCell ref="J20:M20"/>
    <mergeCell ref="N20:O20"/>
    <mergeCell ref="P20:S20"/>
    <mergeCell ref="T20:U20"/>
    <mergeCell ref="C19:G19"/>
    <mergeCell ref="H19:I19"/>
    <mergeCell ref="J19:M19"/>
    <mergeCell ref="N19:O19"/>
    <mergeCell ref="P19:S19"/>
    <mergeCell ref="T19:U19"/>
    <mergeCell ref="C18:G18"/>
    <mergeCell ref="H18:I18"/>
    <mergeCell ref="J18:M18"/>
    <mergeCell ref="N18:O18"/>
    <mergeCell ref="P18:S18"/>
    <mergeCell ref="T18:U18"/>
    <mergeCell ref="T16:U16"/>
    <mergeCell ref="C17:I17"/>
    <mergeCell ref="J17:M17"/>
    <mergeCell ref="N17:O17"/>
    <mergeCell ref="P17:S17"/>
    <mergeCell ref="T17:U17"/>
    <mergeCell ref="J15:M15"/>
    <mergeCell ref="P15:S15"/>
    <mergeCell ref="C16:I16"/>
    <mergeCell ref="J16:M16"/>
    <mergeCell ref="N16:O16"/>
    <mergeCell ref="P16:S16"/>
    <mergeCell ref="C13:I13"/>
    <mergeCell ref="J13:M13"/>
    <mergeCell ref="N13:O13"/>
    <mergeCell ref="P13:S13"/>
    <mergeCell ref="B1:T1"/>
    <mergeCell ref="C2:E2"/>
    <mergeCell ref="F2:U2"/>
    <mergeCell ref="C3:E3"/>
    <mergeCell ref="F3:U3"/>
    <mergeCell ref="F4:U4"/>
    <mergeCell ref="C6:D6"/>
    <mergeCell ref="E6:U6"/>
    <mergeCell ref="J7:K7"/>
    <mergeCell ref="C8:U8"/>
    <mergeCell ref="C9:U9"/>
    <mergeCell ref="B10:B11"/>
    <mergeCell ref="C10:I11"/>
    <mergeCell ref="J10:M10"/>
    <mergeCell ref="N10:O11"/>
    <mergeCell ref="P10:S10"/>
    <mergeCell ref="T13:U13"/>
    <mergeCell ref="C14:I14"/>
    <mergeCell ref="J14:M14"/>
    <mergeCell ref="N14:O14"/>
    <mergeCell ref="P14:S14"/>
    <mergeCell ref="T10:U11"/>
    <mergeCell ref="J11:M11"/>
    <mergeCell ref="P11:S11"/>
    <mergeCell ref="C12:I12"/>
    <mergeCell ref="J12:M12"/>
    <mergeCell ref="N12:O12"/>
    <mergeCell ref="P12:S12"/>
    <mergeCell ref="T12:U12"/>
  </mergeCells>
  <printOptions horizontalCentered="1"/>
  <pageMargins left="0.39370078740157483" right="0.19685039370078741" top="0.39370078740157483" bottom="0.19685039370078741" header="0.31496062992125984" footer="0.31496062992125984"/>
  <pageSetup paperSize="9" orientation="portrait" horizontalDpi="300" verticalDpi="300" r:id="rId1"/>
  <colBreaks count="1" manualBreakCount="1">
    <brk id="21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1D05C-83CF-46EA-832E-8DD3AC0F2D0A}">
  <dimension ref="B1:AJ103"/>
  <sheetViews>
    <sheetView view="pageBreakPreview" topLeftCell="B1" zoomScaleNormal="100" zoomScaleSheetLayoutView="100" workbookViewId="0">
      <selection activeCell="F74" sqref="F74"/>
    </sheetView>
  </sheetViews>
  <sheetFormatPr defaultRowHeight="21"/>
  <cols>
    <col min="1" max="1" width="9.140625" style="227"/>
    <col min="2" max="2" width="7.5703125" style="227" customWidth="1"/>
    <col min="3" max="3" width="62" style="227" customWidth="1"/>
    <col min="4" max="4" width="9" style="243" customWidth="1"/>
    <col min="5" max="5" width="9.140625" style="245"/>
    <col min="6" max="6" width="12.85546875" style="227" customWidth="1"/>
    <col min="7" max="7" width="14.28515625" style="227" customWidth="1"/>
    <col min="8" max="8" width="13.5703125" style="227" customWidth="1"/>
    <col min="9" max="9" width="11.42578125" style="227" customWidth="1"/>
    <col min="10" max="10" width="15.42578125" style="227" customWidth="1"/>
    <col min="11" max="14" width="11.5703125" style="227" customWidth="1"/>
    <col min="15" max="15" width="11.140625" style="227" customWidth="1"/>
    <col min="16" max="16" width="36.85546875" style="227" customWidth="1"/>
    <col min="17" max="17" width="25.42578125" style="227" customWidth="1"/>
    <col min="18" max="18" width="24.5703125" style="227" customWidth="1"/>
    <col min="19" max="19" width="23.28515625" style="227" customWidth="1"/>
    <col min="20" max="21" width="17.85546875" style="227" customWidth="1"/>
    <col min="22" max="22" width="29" style="227" customWidth="1"/>
    <col min="23" max="23" width="17.85546875" style="227" customWidth="1"/>
    <col min="24" max="24" width="11.7109375" style="227" customWidth="1"/>
    <col min="25" max="25" width="9.140625" style="227"/>
    <col min="26" max="26" width="46.28515625" style="227" customWidth="1"/>
    <col min="27" max="28" width="9.140625" style="227"/>
    <col min="29" max="29" width="12" style="227" customWidth="1"/>
    <col min="30" max="30" width="11.42578125" style="227" customWidth="1"/>
    <col min="31" max="31" width="9.140625" style="227"/>
    <col min="32" max="32" width="11.140625" style="227" customWidth="1"/>
    <col min="33" max="33" width="11.85546875" style="227" customWidth="1"/>
    <col min="34" max="16384" width="9.140625" style="227"/>
  </cols>
  <sheetData>
    <row r="1" spans="2:36" s="1" customFormat="1" ht="23.25" customHeight="1">
      <c r="B1" s="788" t="s">
        <v>154</v>
      </c>
      <c r="C1" s="788"/>
      <c r="D1" s="788"/>
      <c r="E1" s="788"/>
      <c r="F1" s="788"/>
      <c r="G1" s="788"/>
      <c r="H1" s="788"/>
      <c r="I1" s="788"/>
      <c r="J1" s="788"/>
      <c r="K1" s="323" t="s">
        <v>155</v>
      </c>
      <c r="L1" s="322"/>
      <c r="M1" s="322"/>
      <c r="N1" s="322"/>
      <c r="O1" s="322"/>
    </row>
    <row r="2" spans="2:36" s="3" customFormat="1" ht="21.95" customHeight="1">
      <c r="B2" s="2" t="s">
        <v>177</v>
      </c>
      <c r="E2" s="4"/>
      <c r="K2" s="324"/>
    </row>
    <row r="3" spans="2:36" s="6" customFormat="1" ht="21.95" customHeight="1">
      <c r="B3" s="5" t="s">
        <v>156</v>
      </c>
      <c r="D3" s="7"/>
      <c r="E3" s="7"/>
    </row>
    <row r="4" spans="2:36" s="5" customFormat="1" ht="21.95" customHeight="1">
      <c r="B4" s="8" t="s">
        <v>157</v>
      </c>
      <c r="D4" s="9"/>
      <c r="E4" s="9"/>
      <c r="H4" s="6" t="s">
        <v>158</v>
      </c>
    </row>
    <row r="5" spans="2:36" s="11" customFormat="1" ht="21.95" customHeight="1" thickBot="1">
      <c r="B5" s="10" t="s">
        <v>172</v>
      </c>
      <c r="C5" s="325"/>
      <c r="D5" s="10"/>
      <c r="E5" s="10"/>
      <c r="F5" s="10"/>
      <c r="G5" s="10"/>
      <c r="H5" s="10" t="s">
        <v>173</v>
      </c>
      <c r="I5" s="12"/>
      <c r="J5" s="12"/>
      <c r="K5" s="10"/>
      <c r="L5" s="305"/>
      <c r="M5" s="305"/>
      <c r="N5" s="305"/>
      <c r="P5" s="10" t="s">
        <v>0</v>
      </c>
    </row>
    <row r="6" spans="2:36" s="13" customFormat="1" ht="21.95" customHeight="1" thickTop="1">
      <c r="B6" s="688" t="s">
        <v>1</v>
      </c>
      <c r="C6" s="789" t="s">
        <v>2</v>
      </c>
      <c r="D6" s="690" t="s">
        <v>3</v>
      </c>
      <c r="E6" s="688" t="s">
        <v>4</v>
      </c>
      <c r="F6" s="692" t="s">
        <v>5</v>
      </c>
      <c r="G6" s="693"/>
      <c r="H6" s="692" t="s">
        <v>6</v>
      </c>
      <c r="I6" s="693"/>
      <c r="J6" s="333" t="s">
        <v>7</v>
      </c>
      <c r="K6" s="688" t="s">
        <v>8</v>
      </c>
      <c r="L6" s="306"/>
      <c r="M6" s="306"/>
      <c r="N6" s="306"/>
    </row>
    <row r="7" spans="2:36" s="17" customFormat="1" ht="21.95" customHeight="1">
      <c r="B7" s="689"/>
      <c r="C7" s="689"/>
      <c r="D7" s="691"/>
      <c r="E7" s="689"/>
      <c r="F7" s="14" t="s">
        <v>9</v>
      </c>
      <c r="G7" s="15" t="s">
        <v>10</v>
      </c>
      <c r="H7" s="14" t="s">
        <v>9</v>
      </c>
      <c r="I7" s="15" t="s">
        <v>10</v>
      </c>
      <c r="J7" s="16" t="s">
        <v>11</v>
      </c>
      <c r="K7" s="689"/>
      <c r="L7" s="307"/>
      <c r="M7" s="307"/>
      <c r="N7" s="307"/>
    </row>
    <row r="8" spans="2:36" s="17" customFormat="1" ht="21.95" customHeight="1">
      <c r="B8" s="326"/>
      <c r="C8" s="331" t="s">
        <v>12</v>
      </c>
      <c r="D8" s="327"/>
      <c r="E8" s="326"/>
      <c r="F8" s="328"/>
      <c r="G8" s="329"/>
      <c r="H8" s="328"/>
      <c r="I8" s="329"/>
      <c r="J8" s="330"/>
      <c r="K8" s="326"/>
      <c r="L8" s="307"/>
      <c r="M8" s="307"/>
      <c r="N8" s="307"/>
    </row>
    <row r="9" spans="2:36" s="21" customFormat="1" ht="20.45" customHeight="1">
      <c r="B9" s="62">
        <v>1</v>
      </c>
      <c r="C9" s="63" t="s">
        <v>162</v>
      </c>
      <c r="D9" s="64"/>
      <c r="E9" s="65"/>
      <c r="F9" s="66"/>
      <c r="G9" s="62"/>
      <c r="H9" s="62"/>
      <c r="I9" s="62"/>
      <c r="J9" s="62"/>
      <c r="K9" s="65"/>
      <c r="L9" s="309"/>
      <c r="M9" s="309"/>
      <c r="N9" s="309"/>
      <c r="P9" s="30"/>
      <c r="Q9" s="30"/>
      <c r="R9" s="30"/>
    </row>
    <row r="10" spans="2:36" s="17" customFormat="1" ht="21.75" customHeight="1">
      <c r="B10" s="31"/>
      <c r="C10" s="32" t="s">
        <v>163</v>
      </c>
      <c r="D10" s="33">
        <v>1</v>
      </c>
      <c r="E10" s="34" t="s">
        <v>7</v>
      </c>
      <c r="F10" s="35"/>
      <c r="G10" s="35"/>
      <c r="H10" s="35"/>
      <c r="I10" s="36"/>
      <c r="J10" s="36">
        <f>J19</f>
        <v>212052.50064000001</v>
      </c>
      <c r="K10" s="37"/>
      <c r="L10" s="310"/>
      <c r="M10" s="310"/>
      <c r="N10" s="310"/>
      <c r="O10" s="38"/>
      <c r="P10" s="39"/>
      <c r="Q10" s="40"/>
      <c r="R10" s="41"/>
      <c r="S10" s="38"/>
      <c r="T10" s="42"/>
      <c r="U10" s="42"/>
      <c r="V10" s="42"/>
      <c r="W10" s="43"/>
      <c r="X10" s="43"/>
    </row>
    <row r="11" spans="2:36" s="49" customFormat="1" ht="21.95" customHeight="1">
      <c r="B11" s="31"/>
      <c r="C11" s="32" t="s">
        <v>164</v>
      </c>
      <c r="D11" s="44">
        <v>1</v>
      </c>
      <c r="E11" s="34" t="s">
        <v>7</v>
      </c>
      <c r="F11" s="45"/>
      <c r="G11" s="45"/>
      <c r="H11" s="46"/>
      <c r="I11" s="47"/>
      <c r="J11" s="47">
        <f>J42</f>
        <v>92908.86</v>
      </c>
      <c r="K11" s="37"/>
      <c r="L11" s="310"/>
      <c r="M11" s="310"/>
      <c r="N11" s="310"/>
      <c r="O11" s="38"/>
      <c r="P11" s="48"/>
      <c r="Q11" s="48"/>
      <c r="R11" s="48"/>
      <c r="S11" s="38"/>
      <c r="T11" s="42"/>
      <c r="U11" s="42"/>
      <c r="V11" s="42"/>
      <c r="W11" s="43"/>
      <c r="X11" s="43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</row>
    <row r="12" spans="2:36" s="20" customFormat="1" ht="21.95" customHeight="1">
      <c r="B12" s="31"/>
      <c r="C12" s="32" t="s">
        <v>165</v>
      </c>
      <c r="D12" s="50">
        <v>1</v>
      </c>
      <c r="E12" s="34" t="s">
        <v>7</v>
      </c>
      <c r="F12" s="51"/>
      <c r="G12" s="51"/>
      <c r="H12" s="46"/>
      <c r="I12" s="47"/>
      <c r="J12" s="47">
        <f>J60</f>
        <v>16434.824000000001</v>
      </c>
      <c r="K12" s="37"/>
      <c r="L12" s="310"/>
      <c r="M12" s="310"/>
      <c r="N12" s="310"/>
      <c r="O12" s="38"/>
      <c r="P12" s="48"/>
      <c r="Q12" s="52"/>
      <c r="R12" s="53"/>
      <c r="S12" s="38"/>
      <c r="T12" s="42"/>
      <c r="U12" s="42"/>
      <c r="V12" s="42"/>
      <c r="W12" s="43"/>
      <c r="X12" s="43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</row>
    <row r="13" spans="2:36" s="21" customFormat="1" ht="20.45" customHeight="1">
      <c r="B13" s="31"/>
      <c r="C13" s="54" t="s">
        <v>166</v>
      </c>
      <c r="D13" s="50">
        <v>1</v>
      </c>
      <c r="E13" s="34" t="s">
        <v>7</v>
      </c>
      <c r="F13" s="51"/>
      <c r="G13" s="51"/>
      <c r="H13" s="46"/>
      <c r="I13" s="47"/>
      <c r="J13" s="47">
        <f>J63</f>
        <v>1340</v>
      </c>
      <c r="K13" s="37"/>
      <c r="L13" s="310"/>
      <c r="M13" s="310"/>
      <c r="N13" s="310"/>
      <c r="O13" s="53"/>
      <c r="P13" s="53"/>
      <c r="Q13" s="53"/>
      <c r="R13" s="53"/>
      <c r="S13" s="53"/>
      <c r="T13" s="55"/>
      <c r="U13" s="55"/>
      <c r="V13" s="55"/>
      <c r="W13" s="56"/>
      <c r="X13" s="56"/>
    </row>
    <row r="14" spans="2:36" s="21" customFormat="1" ht="20.45" customHeight="1">
      <c r="B14" s="23"/>
      <c r="C14" s="57" t="s">
        <v>167</v>
      </c>
      <c r="D14" s="58">
        <v>1</v>
      </c>
      <c r="E14" s="34" t="s">
        <v>7</v>
      </c>
      <c r="F14" s="45"/>
      <c r="G14" s="45"/>
      <c r="H14" s="59"/>
      <c r="I14" s="45"/>
      <c r="J14" s="45">
        <f>J75</f>
        <v>67959</v>
      </c>
      <c r="K14" s="60"/>
      <c r="L14" s="310"/>
      <c r="M14" s="310"/>
      <c r="N14" s="310"/>
      <c r="O14" s="53"/>
      <c r="P14" s="61"/>
      <c r="Q14" s="61"/>
      <c r="R14" s="61"/>
      <c r="S14" s="61"/>
      <c r="T14" s="61"/>
      <c r="U14" s="61"/>
      <c r="V14" s="61"/>
      <c r="W14" s="56"/>
      <c r="X14" s="56"/>
    </row>
    <row r="15" spans="2:36" s="21" customFormat="1" ht="20.45" customHeight="1">
      <c r="B15" s="31"/>
      <c r="C15" s="353"/>
      <c r="D15" s="58"/>
      <c r="E15" s="34"/>
      <c r="F15" s="45"/>
      <c r="G15" s="45"/>
      <c r="H15" s="59"/>
      <c r="I15" s="45"/>
      <c r="J15" s="45"/>
      <c r="K15" s="37"/>
      <c r="L15" s="310"/>
      <c r="M15" s="310"/>
      <c r="N15" s="310"/>
      <c r="O15" s="53"/>
      <c r="P15" s="354"/>
      <c r="Q15" s="354"/>
      <c r="R15" s="354"/>
      <c r="S15" s="354"/>
      <c r="T15" s="354"/>
      <c r="U15" s="354"/>
      <c r="V15" s="354"/>
      <c r="W15" s="56"/>
      <c r="X15" s="56"/>
    </row>
    <row r="16" spans="2:36" s="21" customFormat="1" ht="20.45" customHeight="1">
      <c r="B16" s="31"/>
      <c r="C16" s="353"/>
      <c r="D16" s="58">
        <v>1</v>
      </c>
      <c r="E16" s="34" t="s">
        <v>15</v>
      </c>
      <c r="F16" s="45"/>
      <c r="G16" s="45"/>
      <c r="H16" s="59"/>
      <c r="I16" s="45"/>
      <c r="J16" s="45">
        <f>SUM(J10:J15)</f>
        <v>390695.18464000005</v>
      </c>
      <c r="K16" s="37"/>
      <c r="L16" s="310"/>
      <c r="M16" s="310"/>
      <c r="N16" s="310"/>
      <c r="O16" s="53"/>
      <c r="P16" s="354"/>
      <c r="Q16" s="354"/>
      <c r="R16" s="354"/>
      <c r="S16" s="354"/>
      <c r="T16" s="354"/>
      <c r="U16" s="354"/>
      <c r="V16" s="354"/>
      <c r="W16" s="56"/>
      <c r="X16" s="56"/>
    </row>
    <row r="17" spans="2:24" s="21" customFormat="1" ht="21.95" customHeight="1">
      <c r="B17" s="31"/>
      <c r="C17" s="68"/>
      <c r="D17" s="74"/>
      <c r="E17" s="70"/>
      <c r="F17" s="45"/>
      <c r="G17" s="45"/>
      <c r="H17" s="76"/>
      <c r="I17" s="45"/>
      <c r="J17" s="45"/>
      <c r="K17" s="69"/>
      <c r="L17" s="311"/>
      <c r="M17" s="311"/>
      <c r="N17" s="311"/>
      <c r="O17" s="78"/>
      <c r="P17" s="30"/>
      <c r="Q17" s="75"/>
      <c r="R17" s="30"/>
      <c r="S17" s="30"/>
      <c r="T17" s="56"/>
      <c r="U17" s="56"/>
      <c r="V17" s="56"/>
      <c r="W17" s="56"/>
      <c r="X17" s="56"/>
    </row>
    <row r="18" spans="2:24" s="20" customFormat="1" ht="21.95" customHeight="1">
      <c r="B18" s="79"/>
      <c r="C18" s="80" t="s">
        <v>14</v>
      </c>
      <c r="D18" s="81">
        <v>1</v>
      </c>
      <c r="E18" s="82" t="s">
        <v>15</v>
      </c>
      <c r="F18" s="83"/>
      <c r="G18" s="24"/>
      <c r="H18" s="83"/>
      <c r="I18" s="24"/>
      <c r="J18" s="24">
        <f>J16*D18</f>
        <v>390695.18464000005</v>
      </c>
      <c r="K18" s="25" t="s">
        <v>13</v>
      </c>
      <c r="L18" s="308" t="s">
        <v>148</v>
      </c>
      <c r="M18" s="308"/>
      <c r="N18" s="308"/>
      <c r="O18" s="26"/>
      <c r="P18" s="84"/>
      <c r="Q18" s="84"/>
      <c r="R18" s="84"/>
      <c r="S18" s="85" t="s">
        <v>3</v>
      </c>
      <c r="T18" s="86" t="s">
        <v>16</v>
      </c>
      <c r="U18" s="86" t="s">
        <v>17</v>
      </c>
      <c r="V18" s="86" t="s">
        <v>7</v>
      </c>
      <c r="W18" s="86" t="s">
        <v>18</v>
      </c>
      <c r="X18" s="87"/>
    </row>
    <row r="19" spans="2:24" s="98" customFormat="1" ht="21.95" customHeight="1">
      <c r="B19" s="19"/>
      <c r="C19" s="88" t="s">
        <v>163</v>
      </c>
      <c r="D19" s="89">
        <v>6</v>
      </c>
      <c r="E19" s="90" t="s">
        <v>19</v>
      </c>
      <c r="F19" s="91"/>
      <c r="G19" s="91"/>
      <c r="H19" s="92"/>
      <c r="I19" s="91"/>
      <c r="J19" s="91">
        <f>J41*D19</f>
        <v>212052.50064000001</v>
      </c>
      <c r="K19" s="93"/>
      <c r="L19" s="89">
        <v>3</v>
      </c>
      <c r="M19" s="320"/>
      <c r="N19" s="312"/>
      <c r="O19" s="38"/>
      <c r="P19" s="41" t="s">
        <v>20</v>
      </c>
      <c r="Q19" s="41" t="s">
        <v>21</v>
      </c>
      <c r="R19" s="94" t="s">
        <v>22</v>
      </c>
      <c r="S19" s="95">
        <f>(2.2*0.75*0.15)-(1*0.3*0.15)</f>
        <v>0.20250000000000001</v>
      </c>
      <c r="T19" s="96">
        <v>2392.52</v>
      </c>
      <c r="U19" s="94">
        <v>391</v>
      </c>
      <c r="V19" s="96">
        <f>(S19*T19)+(S19*U19)</f>
        <v>563.66280000000006</v>
      </c>
      <c r="W19" s="97">
        <f>V19*5</f>
        <v>2818.3140000000003</v>
      </c>
      <c r="X19" s="42">
        <f>W19*1.2</f>
        <v>3381.9768000000004</v>
      </c>
    </row>
    <row r="20" spans="2:24" s="21" customFormat="1" ht="20.45" customHeight="1">
      <c r="B20" s="67"/>
      <c r="C20" s="99" t="s">
        <v>23</v>
      </c>
      <c r="D20" s="100">
        <f>L20*M20</f>
        <v>7.3980000000000006</v>
      </c>
      <c r="E20" s="101" t="s">
        <v>24</v>
      </c>
      <c r="F20" s="102">
        <v>0</v>
      </c>
      <c r="G20" s="102">
        <f>+D20*F20</f>
        <v>0</v>
      </c>
      <c r="H20" s="103">
        <v>142</v>
      </c>
      <c r="I20" s="102">
        <f>+D20*H20</f>
        <v>1050.5160000000001</v>
      </c>
      <c r="J20" s="104">
        <f>+G20+I20</f>
        <v>1050.5160000000001</v>
      </c>
      <c r="K20" s="69"/>
      <c r="L20" s="100">
        <v>2.4660000000000002</v>
      </c>
      <c r="M20" s="321">
        <v>3</v>
      </c>
      <c r="N20" s="311"/>
      <c r="O20" s="30"/>
      <c r="P20" s="39">
        <f>2.2*0.75</f>
        <v>1.6500000000000001</v>
      </c>
      <c r="Q20" s="40">
        <f>P20*5</f>
        <v>8.25</v>
      </c>
      <c r="R20" s="105"/>
      <c r="S20" s="106"/>
      <c r="T20" s="106"/>
      <c r="U20" s="106"/>
      <c r="V20" s="106"/>
      <c r="W20" s="106"/>
      <c r="X20" s="56"/>
    </row>
    <row r="21" spans="2:24" s="21" customFormat="1" ht="20.45" customHeight="1">
      <c r="B21" s="107"/>
      <c r="C21" s="108" t="s">
        <v>25</v>
      </c>
      <c r="D21" s="100">
        <f t="shared" ref="D21:D38" si="0">L21*M21</f>
        <v>0.61799999999999999</v>
      </c>
      <c r="E21" s="101" t="s">
        <v>24</v>
      </c>
      <c r="F21" s="102">
        <v>462</v>
      </c>
      <c r="G21" s="102">
        <f>+D21*F21</f>
        <v>285.51600000000002</v>
      </c>
      <c r="H21" s="103">
        <v>104</v>
      </c>
      <c r="I21" s="102">
        <f>+D21*H21</f>
        <v>64.272000000000006</v>
      </c>
      <c r="J21" s="102">
        <f>+G21+I21</f>
        <v>349.78800000000001</v>
      </c>
      <c r="K21" s="69"/>
      <c r="L21" s="100">
        <v>0.20599999999999999</v>
      </c>
      <c r="M21" s="321">
        <v>3</v>
      </c>
      <c r="N21" s="311"/>
      <c r="O21" s="30"/>
      <c r="P21" s="106"/>
      <c r="Q21" s="106"/>
      <c r="R21" s="106"/>
      <c r="S21" s="106"/>
      <c r="T21" s="106"/>
      <c r="U21" s="106"/>
      <c r="V21" s="106"/>
      <c r="W21" s="106"/>
      <c r="X21" s="56"/>
    </row>
    <row r="22" spans="2:24" s="21" customFormat="1" ht="20.45" customHeight="1">
      <c r="B22" s="109"/>
      <c r="C22" s="108" t="s">
        <v>26</v>
      </c>
      <c r="D22" s="100">
        <f t="shared" si="0"/>
        <v>0.495</v>
      </c>
      <c r="E22" s="101" t="s">
        <v>24</v>
      </c>
      <c r="F22" s="102">
        <v>1800</v>
      </c>
      <c r="G22" s="102">
        <f>+D22*F22</f>
        <v>891</v>
      </c>
      <c r="H22" s="102">
        <v>426</v>
      </c>
      <c r="I22" s="102">
        <f>+D22*H22</f>
        <v>210.87</v>
      </c>
      <c r="J22" s="102">
        <f>+G22+I22</f>
        <v>1101.8699999999999</v>
      </c>
      <c r="K22" s="110"/>
      <c r="L22" s="100">
        <v>0.16500000000000001</v>
      </c>
      <c r="M22" s="321">
        <v>3</v>
      </c>
      <c r="N22" s="313"/>
      <c r="O22" s="26" t="str">
        <f>IF((G22+I22)=J22," ","ผิดพลาด")</f>
        <v xml:space="preserve"> </v>
      </c>
      <c r="P22" s="106"/>
      <c r="Q22" s="106"/>
      <c r="R22" s="106"/>
      <c r="S22" s="106"/>
      <c r="T22" s="106"/>
      <c r="U22" s="106"/>
      <c r="V22" s="106"/>
      <c r="W22" s="106"/>
      <c r="X22" s="56"/>
    </row>
    <row r="23" spans="2:24" s="98" customFormat="1" ht="21.95" customHeight="1">
      <c r="B23" s="67"/>
      <c r="C23" s="99" t="s">
        <v>27</v>
      </c>
      <c r="D23" s="100">
        <f t="shared" si="0"/>
        <v>1.8900000000000001</v>
      </c>
      <c r="E23" s="101" t="s">
        <v>24</v>
      </c>
      <c r="F23" s="51">
        <v>2160</v>
      </c>
      <c r="G23" s="102">
        <f>+D23*F23</f>
        <v>4082.4</v>
      </c>
      <c r="H23" s="103">
        <v>327</v>
      </c>
      <c r="I23" s="102">
        <f>+D23*H23</f>
        <v>618.03000000000009</v>
      </c>
      <c r="J23" s="102">
        <f>+G23+I23</f>
        <v>4700.43</v>
      </c>
      <c r="K23" s="111"/>
      <c r="L23" s="100">
        <v>0.63</v>
      </c>
      <c r="M23" s="321">
        <v>3</v>
      </c>
      <c r="N23" s="312"/>
      <c r="O23" s="38"/>
      <c r="P23" s="94"/>
      <c r="Q23" s="94"/>
      <c r="R23" s="94"/>
      <c r="S23" s="94"/>
      <c r="T23" s="94"/>
      <c r="U23" s="94"/>
      <c r="V23" s="94"/>
      <c r="W23" s="94"/>
      <c r="X23" s="42"/>
    </row>
    <row r="24" spans="2:24" s="21" customFormat="1" ht="20.45" customHeight="1">
      <c r="B24" s="67"/>
      <c r="C24" s="108" t="s">
        <v>28</v>
      </c>
      <c r="D24" s="100">
        <f t="shared" si="0"/>
        <v>12</v>
      </c>
      <c r="E24" s="71" t="s">
        <v>29</v>
      </c>
      <c r="F24" s="72">
        <v>0</v>
      </c>
      <c r="G24" s="72">
        <f>ROUND(D24*F24,0)</f>
        <v>0</v>
      </c>
      <c r="H24" s="73">
        <v>139</v>
      </c>
      <c r="I24" s="72">
        <f>ROUND(D24*H24,0)</f>
        <v>1668</v>
      </c>
      <c r="J24" s="72">
        <f>G24+I24</f>
        <v>1668</v>
      </c>
      <c r="K24" s="69"/>
      <c r="L24" s="58">
        <v>4</v>
      </c>
      <c r="M24" s="321">
        <v>3</v>
      </c>
      <c r="N24" s="311"/>
      <c r="O24" s="30"/>
      <c r="P24" s="41"/>
      <c r="Q24" s="112">
        <f>0.75*2.2*1.15</f>
        <v>1.8975</v>
      </c>
      <c r="R24" s="113">
        <f>Q24*1.3</f>
        <v>2.4667500000000002</v>
      </c>
      <c r="S24" s="41"/>
      <c r="T24" s="114">
        <f>0.75*2.2*0.1</f>
        <v>0.16500000000000004</v>
      </c>
      <c r="U24" s="115">
        <f>T24*1.25</f>
        <v>0.20625000000000004</v>
      </c>
      <c r="V24" s="41"/>
      <c r="W24" s="116">
        <f>0.75*2.2*0.05</f>
        <v>8.2500000000000018E-2</v>
      </c>
      <c r="X24" s="42"/>
    </row>
    <row r="25" spans="2:24" s="21" customFormat="1" ht="20.45" customHeight="1">
      <c r="B25" s="67"/>
      <c r="C25" s="99" t="s">
        <v>30</v>
      </c>
      <c r="D25" s="100">
        <f t="shared" si="0"/>
        <v>6</v>
      </c>
      <c r="E25" s="71" t="s">
        <v>29</v>
      </c>
      <c r="F25" s="72">
        <v>350</v>
      </c>
      <c r="G25" s="72">
        <f>ROUND(D25*F25,0)</f>
        <v>2100</v>
      </c>
      <c r="H25" s="73">
        <v>0</v>
      </c>
      <c r="I25" s="72">
        <f>ROUND(D25*H25,0)</f>
        <v>0</v>
      </c>
      <c r="J25" s="72">
        <f>G25+I25</f>
        <v>2100</v>
      </c>
      <c r="K25" s="69"/>
      <c r="L25" s="117">
        <f>L24*0.5</f>
        <v>2</v>
      </c>
      <c r="M25" s="321">
        <v>3</v>
      </c>
      <c r="N25" s="311"/>
      <c r="O25" s="30"/>
      <c r="P25" s="118" t="s">
        <v>31</v>
      </c>
      <c r="Q25" s="118" t="s">
        <v>32</v>
      </c>
      <c r="R25" s="119" t="s">
        <v>33</v>
      </c>
      <c r="S25" s="120" t="s">
        <v>34</v>
      </c>
      <c r="T25" s="120" t="s">
        <v>32</v>
      </c>
      <c r="U25" s="121" t="s">
        <v>35</v>
      </c>
      <c r="V25" s="122" t="s">
        <v>36</v>
      </c>
      <c r="W25" s="122" t="s">
        <v>32</v>
      </c>
      <c r="X25" s="42"/>
    </row>
    <row r="26" spans="2:24" s="21" customFormat="1" ht="20.45" customHeight="1">
      <c r="B26" s="67"/>
      <c r="C26" s="108" t="s">
        <v>37</v>
      </c>
      <c r="D26" s="100">
        <f>L26*M26</f>
        <v>1.7999999999999998</v>
      </c>
      <c r="E26" s="71" t="s">
        <v>38</v>
      </c>
      <c r="F26" s="72">
        <v>150</v>
      </c>
      <c r="G26" s="72">
        <f>ROUND(D26*F26,0)</f>
        <v>270</v>
      </c>
      <c r="H26" s="72">
        <v>0</v>
      </c>
      <c r="I26" s="72">
        <f>ROUND(D26*H26,0)</f>
        <v>0</v>
      </c>
      <c r="J26" s="72">
        <f>G26+I26</f>
        <v>270</v>
      </c>
      <c r="K26" s="123"/>
      <c r="L26" s="58">
        <f>L25*0.3</f>
        <v>0.6</v>
      </c>
      <c r="M26" s="321">
        <v>3</v>
      </c>
      <c r="N26" s="312"/>
      <c r="O26" s="30"/>
      <c r="P26" s="106"/>
      <c r="Q26" s="106"/>
      <c r="R26" s="106"/>
      <c r="S26" s="106"/>
      <c r="T26" s="106"/>
      <c r="U26" s="106"/>
      <c r="V26" s="106"/>
      <c r="W26" s="106"/>
      <c r="X26" s="42"/>
    </row>
    <row r="27" spans="2:24" s="21" customFormat="1" ht="20.45" customHeight="1">
      <c r="B27" s="67"/>
      <c r="C27" s="108" t="s">
        <v>39</v>
      </c>
      <c r="D27" s="100">
        <f t="shared" si="0"/>
        <v>1.5</v>
      </c>
      <c r="E27" s="70" t="s">
        <v>40</v>
      </c>
      <c r="F27" s="45">
        <v>48</v>
      </c>
      <c r="G27" s="45">
        <f>D27*F27</f>
        <v>72</v>
      </c>
      <c r="H27" s="45">
        <v>0</v>
      </c>
      <c r="I27" s="45">
        <f>D27*H27</f>
        <v>0</v>
      </c>
      <c r="J27" s="45">
        <f>G27+I27</f>
        <v>72</v>
      </c>
      <c r="K27" s="123"/>
      <c r="L27" s="117">
        <f>L25*0.25</f>
        <v>0.5</v>
      </c>
      <c r="M27" s="321">
        <v>3</v>
      </c>
      <c r="N27" s="312"/>
      <c r="O27" s="30"/>
      <c r="P27" s="124" t="s">
        <v>41</v>
      </c>
      <c r="Q27" s="124" t="s">
        <v>42</v>
      </c>
      <c r="R27" s="124" t="s">
        <v>43</v>
      </c>
      <c r="S27" s="124" t="s">
        <v>42</v>
      </c>
      <c r="T27" s="125" t="s">
        <v>44</v>
      </c>
      <c r="U27" s="106"/>
      <c r="V27" s="106"/>
      <c r="W27" s="106"/>
      <c r="X27" s="42"/>
    </row>
    <row r="28" spans="2:24" s="21" customFormat="1" ht="20.45" customHeight="1">
      <c r="B28" s="67"/>
      <c r="C28" s="99" t="s">
        <v>174</v>
      </c>
      <c r="D28" s="100">
        <f t="shared" si="0"/>
        <v>15.761999999999999</v>
      </c>
      <c r="E28" s="101" t="s">
        <v>40</v>
      </c>
      <c r="F28" s="102">
        <v>29.73</v>
      </c>
      <c r="G28" s="102">
        <f>+D28*F28</f>
        <v>468.60425999999995</v>
      </c>
      <c r="H28" s="51">
        <v>4.4000000000000004</v>
      </c>
      <c r="I28" s="102">
        <f>+D28*H28</f>
        <v>69.352800000000002</v>
      </c>
      <c r="J28" s="102">
        <f>+G28+I28</f>
        <v>537.95705999999996</v>
      </c>
      <c r="K28" s="123"/>
      <c r="L28" s="100">
        <v>5.2539999999999996</v>
      </c>
      <c r="M28" s="321">
        <v>3</v>
      </c>
      <c r="N28" s="312"/>
      <c r="O28" s="30"/>
      <c r="P28" s="41"/>
      <c r="Q28" s="126">
        <f>2.2*0.75*0.2</f>
        <v>0.33000000000000007</v>
      </c>
      <c r="R28" s="41"/>
      <c r="S28" s="126">
        <f>1*0.3*1</f>
        <v>0.3</v>
      </c>
      <c r="T28" s="127">
        <f>Q28+S28</f>
        <v>0.63000000000000012</v>
      </c>
      <c r="U28" s="106"/>
      <c r="V28" s="106"/>
      <c r="W28" s="106"/>
      <c r="X28" s="56"/>
    </row>
    <row r="29" spans="2:24" s="21" customFormat="1" ht="20.45" customHeight="1">
      <c r="B29" s="67"/>
      <c r="C29" s="99" t="s">
        <v>175</v>
      </c>
      <c r="D29" s="100">
        <f t="shared" si="0"/>
        <v>24.987000000000002</v>
      </c>
      <c r="E29" s="101" t="s">
        <v>40</v>
      </c>
      <c r="F29" s="102">
        <v>27.21</v>
      </c>
      <c r="G29" s="102">
        <f>+D29*F29</f>
        <v>679.89627000000007</v>
      </c>
      <c r="H29" s="51">
        <v>4.4000000000000004</v>
      </c>
      <c r="I29" s="102">
        <f>+D29*H29</f>
        <v>109.94280000000002</v>
      </c>
      <c r="J29" s="102">
        <f>+G29+I29</f>
        <v>789.83907000000011</v>
      </c>
      <c r="K29" s="123"/>
      <c r="L29" s="100">
        <v>8.3290000000000006</v>
      </c>
      <c r="M29" s="321">
        <v>3</v>
      </c>
      <c r="N29" s="312"/>
      <c r="O29" s="30"/>
      <c r="P29" s="122" t="s">
        <v>45</v>
      </c>
      <c r="Q29" s="122"/>
      <c r="R29" s="122"/>
      <c r="S29" s="122"/>
      <c r="T29" s="128"/>
      <c r="U29" s="122"/>
      <c r="V29" s="106"/>
      <c r="W29" s="106"/>
      <c r="X29" s="56"/>
    </row>
    <row r="30" spans="2:24" s="21" customFormat="1" ht="20.45" customHeight="1">
      <c r="B30" s="67"/>
      <c r="C30" s="99" t="s">
        <v>176</v>
      </c>
      <c r="D30" s="100">
        <f t="shared" si="0"/>
        <v>67.664999999999992</v>
      </c>
      <c r="E30" s="101" t="s">
        <v>40</v>
      </c>
      <c r="F30" s="129">
        <v>26.17</v>
      </c>
      <c r="G30" s="102">
        <f>+D30*F30</f>
        <v>1770.79305</v>
      </c>
      <c r="H30" s="51">
        <v>3.9</v>
      </c>
      <c r="I30" s="102">
        <f>+D30*H30</f>
        <v>263.89349999999996</v>
      </c>
      <c r="J30" s="102">
        <f>+G30+I30</f>
        <v>2034.6865499999999</v>
      </c>
      <c r="K30" s="123"/>
      <c r="L30" s="100">
        <v>22.555</v>
      </c>
      <c r="M30" s="321">
        <v>3</v>
      </c>
      <c r="N30" s="312"/>
      <c r="O30" s="30"/>
      <c r="P30" s="122" t="s">
        <v>46</v>
      </c>
      <c r="Q30" s="122" t="s">
        <v>47</v>
      </c>
      <c r="R30" s="122" t="s">
        <v>48</v>
      </c>
      <c r="S30" s="122" t="s">
        <v>47</v>
      </c>
      <c r="T30" s="128" t="s">
        <v>49</v>
      </c>
      <c r="U30" s="122"/>
      <c r="V30" s="106"/>
      <c r="W30" s="106"/>
      <c r="X30" s="56"/>
    </row>
    <row r="31" spans="2:24" s="21" customFormat="1" ht="20.45" customHeight="1">
      <c r="B31" s="67"/>
      <c r="C31" s="130" t="s">
        <v>50</v>
      </c>
      <c r="D31" s="100">
        <f t="shared" si="0"/>
        <v>3.2520000000000002</v>
      </c>
      <c r="E31" s="101" t="s">
        <v>40</v>
      </c>
      <c r="F31" s="129">
        <v>47.13</v>
      </c>
      <c r="G31" s="102">
        <f>+D31*F31</f>
        <v>153.26676</v>
      </c>
      <c r="H31" s="102">
        <v>0</v>
      </c>
      <c r="I31" s="102">
        <f>+D31*H31</f>
        <v>0</v>
      </c>
      <c r="J31" s="102">
        <f>+G31+I31</f>
        <v>153.26676</v>
      </c>
      <c r="K31" s="123"/>
      <c r="L31" s="58">
        <v>1.0840000000000001</v>
      </c>
      <c r="M31" s="321">
        <v>3</v>
      </c>
      <c r="N31" s="312"/>
      <c r="O31" s="30"/>
      <c r="P31" s="41"/>
      <c r="Q31" s="131">
        <f>(2.2+2.2+0.75+0.75)*0.2</f>
        <v>1.1800000000000002</v>
      </c>
      <c r="R31" s="41"/>
      <c r="S31" s="132">
        <f>(1+0.3+1+0.3)*1</f>
        <v>2.5999999999999996</v>
      </c>
      <c r="T31" s="133">
        <f>Q31+S31</f>
        <v>3.78</v>
      </c>
      <c r="U31" s="122"/>
      <c r="V31" s="106"/>
      <c r="W31" s="106"/>
      <c r="X31" s="56"/>
    </row>
    <row r="32" spans="2:24" s="21" customFormat="1" ht="20.45" customHeight="1">
      <c r="B32" s="67"/>
      <c r="C32" s="134" t="s">
        <v>51</v>
      </c>
      <c r="D32" s="100"/>
      <c r="E32" s="101"/>
      <c r="F32" s="135"/>
      <c r="G32" s="102"/>
      <c r="H32" s="59"/>
      <c r="I32" s="102"/>
      <c r="J32" s="102"/>
      <c r="K32" s="123"/>
      <c r="L32" s="100"/>
      <c r="M32" s="321">
        <v>3</v>
      </c>
      <c r="N32" s="312"/>
      <c r="O32" s="30"/>
      <c r="P32" s="106"/>
      <c r="Q32" s="106"/>
      <c r="R32" s="106"/>
      <c r="S32" s="106"/>
      <c r="T32" s="106"/>
      <c r="U32" s="106"/>
      <c r="V32" s="106"/>
      <c r="W32" s="106"/>
      <c r="X32" s="56"/>
    </row>
    <row r="33" spans="2:24" s="21" customFormat="1" ht="20.45" customHeight="1">
      <c r="B33" s="67"/>
      <c r="C33" s="99" t="s">
        <v>52</v>
      </c>
      <c r="D33" s="100">
        <f t="shared" si="0"/>
        <v>163.19999999999999</v>
      </c>
      <c r="E33" s="101" t="s">
        <v>40</v>
      </c>
      <c r="F33" s="102">
        <v>29</v>
      </c>
      <c r="G33" s="102">
        <f>+D33*F33</f>
        <v>4732.7999999999993</v>
      </c>
      <c r="H33" s="102">
        <v>12</v>
      </c>
      <c r="I33" s="102">
        <f>+D33*H33</f>
        <v>1958.3999999999999</v>
      </c>
      <c r="J33" s="102">
        <f>+G33+I33</f>
        <v>6691.1999999999989</v>
      </c>
      <c r="K33" s="69" t="s">
        <v>53</v>
      </c>
      <c r="L33" s="100">
        <v>54.4</v>
      </c>
      <c r="M33" s="321">
        <v>3</v>
      </c>
      <c r="N33" s="311"/>
      <c r="O33" s="136">
        <f>7*7.77</f>
        <v>54.39</v>
      </c>
      <c r="P33" s="106"/>
      <c r="Q33" s="106"/>
      <c r="R33" s="106"/>
      <c r="S33" s="106"/>
      <c r="T33" s="106"/>
      <c r="U33" s="106"/>
      <c r="V33" s="106"/>
      <c r="W33" s="106"/>
      <c r="X33" s="56"/>
    </row>
    <row r="34" spans="2:24" s="21" customFormat="1" ht="20.45" customHeight="1">
      <c r="B34" s="137"/>
      <c r="C34" s="99" t="s">
        <v>54</v>
      </c>
      <c r="D34" s="100">
        <f t="shared" si="0"/>
        <v>195</v>
      </c>
      <c r="E34" s="101" t="s">
        <v>40</v>
      </c>
      <c r="F34" s="102">
        <v>29</v>
      </c>
      <c r="G34" s="102">
        <f>+D34*F34</f>
        <v>5655</v>
      </c>
      <c r="H34" s="102">
        <v>12</v>
      </c>
      <c r="I34" s="102">
        <f>+D34*H34</f>
        <v>2340</v>
      </c>
      <c r="J34" s="102">
        <f>+G34+I34</f>
        <v>7995</v>
      </c>
      <c r="K34" s="69" t="s">
        <v>53</v>
      </c>
      <c r="L34" s="100">
        <v>65</v>
      </c>
      <c r="M34" s="321">
        <v>3</v>
      </c>
      <c r="N34" s="311"/>
      <c r="O34" s="136">
        <f>13.83*4.53</f>
        <v>62.649900000000002</v>
      </c>
      <c r="P34" s="106"/>
      <c r="Q34" s="106"/>
      <c r="R34" s="106"/>
      <c r="S34" s="106"/>
      <c r="T34" s="106"/>
      <c r="U34" s="106"/>
      <c r="V34" s="106"/>
      <c r="W34" s="106"/>
      <c r="X34" s="56"/>
    </row>
    <row r="35" spans="2:24" s="21" customFormat="1" ht="20.45" customHeight="1">
      <c r="B35" s="67"/>
      <c r="C35" s="99" t="s">
        <v>55</v>
      </c>
      <c r="D35" s="100">
        <f t="shared" si="0"/>
        <v>27.54</v>
      </c>
      <c r="E35" s="101" t="s">
        <v>40</v>
      </c>
      <c r="F35" s="102">
        <v>29</v>
      </c>
      <c r="G35" s="102">
        <f>+D35*F35</f>
        <v>798.66</v>
      </c>
      <c r="H35" s="102">
        <v>12</v>
      </c>
      <c r="I35" s="102">
        <f>+D35*H35</f>
        <v>330.48</v>
      </c>
      <c r="J35" s="102">
        <f>+G35+I35</f>
        <v>1129.1399999999999</v>
      </c>
      <c r="K35" s="69" t="s">
        <v>53</v>
      </c>
      <c r="L35" s="100">
        <v>9.18</v>
      </c>
      <c r="M35" s="321">
        <v>3</v>
      </c>
      <c r="N35" s="311"/>
      <c r="O35" s="138">
        <f>4.64*1.8</f>
        <v>8.3520000000000003</v>
      </c>
      <c r="P35" s="139">
        <f>O35*0.03</f>
        <v>0.25056</v>
      </c>
      <c r="Q35" s="106"/>
      <c r="R35" s="685" t="s">
        <v>56</v>
      </c>
      <c r="S35" s="686"/>
      <c r="T35" s="687"/>
      <c r="U35" s="106"/>
      <c r="V35" s="106"/>
      <c r="W35" s="106"/>
      <c r="X35" s="56"/>
    </row>
    <row r="36" spans="2:24" s="21" customFormat="1" ht="20.45" customHeight="1">
      <c r="B36" s="67"/>
      <c r="C36" s="99" t="s">
        <v>151</v>
      </c>
      <c r="D36" s="100">
        <f t="shared" si="0"/>
        <v>15</v>
      </c>
      <c r="E36" s="34" t="s">
        <v>57</v>
      </c>
      <c r="F36" s="102">
        <v>75</v>
      </c>
      <c r="G36" s="102">
        <f>+D36*F36</f>
        <v>1125</v>
      </c>
      <c r="H36" s="102">
        <v>0</v>
      </c>
      <c r="I36" s="102">
        <f>+D36*H36</f>
        <v>0</v>
      </c>
      <c r="J36" s="102">
        <f>+G36+I36</f>
        <v>1125</v>
      </c>
      <c r="K36" s="123"/>
      <c r="L36" s="100">
        <v>5</v>
      </c>
      <c r="M36" s="321">
        <v>3</v>
      </c>
      <c r="N36" s="312"/>
      <c r="O36" s="30"/>
      <c r="P36" s="118" t="s">
        <v>58</v>
      </c>
      <c r="Q36" s="118"/>
      <c r="R36" s="140" t="s">
        <v>59</v>
      </c>
      <c r="S36" s="118"/>
      <c r="T36" s="118"/>
      <c r="U36" s="118"/>
      <c r="V36" s="118"/>
      <c r="W36" s="106"/>
      <c r="X36" s="56"/>
    </row>
    <row r="37" spans="2:24" s="21" customFormat="1" ht="20.45" customHeight="1">
      <c r="B37" s="67"/>
      <c r="C37" s="68" t="s">
        <v>60</v>
      </c>
      <c r="D37" s="100">
        <f t="shared" si="0"/>
        <v>17.940000000000001</v>
      </c>
      <c r="E37" s="70" t="s">
        <v>29</v>
      </c>
      <c r="F37" s="141">
        <v>45</v>
      </c>
      <c r="G37" s="141">
        <f>D37*F37</f>
        <v>807.30000000000007</v>
      </c>
      <c r="H37" s="142">
        <v>35</v>
      </c>
      <c r="I37" s="141">
        <f>D37*H37</f>
        <v>627.90000000000009</v>
      </c>
      <c r="J37" s="141">
        <f>G37+I37</f>
        <v>1435.2000000000003</v>
      </c>
      <c r="K37" s="77"/>
      <c r="L37" s="117">
        <v>5.98</v>
      </c>
      <c r="M37" s="321">
        <v>3</v>
      </c>
      <c r="N37" s="312"/>
      <c r="O37" s="30"/>
      <c r="P37" s="118" t="s">
        <v>61</v>
      </c>
      <c r="Q37" s="118" t="s">
        <v>62</v>
      </c>
      <c r="R37" s="119">
        <v>1107</v>
      </c>
      <c r="S37" s="119">
        <f>R37*1.5</f>
        <v>1660.5</v>
      </c>
      <c r="T37" s="143">
        <f>S37/46.56</f>
        <v>35.663659793814432</v>
      </c>
      <c r="U37" s="143"/>
      <c r="V37" s="118"/>
      <c r="W37" s="106"/>
      <c r="X37" s="56"/>
    </row>
    <row r="38" spans="2:24" s="21" customFormat="1" ht="20.45" customHeight="1">
      <c r="B38" s="67"/>
      <c r="C38" s="68" t="s">
        <v>63</v>
      </c>
      <c r="D38" s="100">
        <f t="shared" si="0"/>
        <v>17.940000000000001</v>
      </c>
      <c r="E38" s="70" t="s">
        <v>29</v>
      </c>
      <c r="F38" s="141">
        <v>35</v>
      </c>
      <c r="G38" s="141">
        <f>D38*F38</f>
        <v>627.90000000000009</v>
      </c>
      <c r="H38" s="142">
        <v>35</v>
      </c>
      <c r="I38" s="141">
        <f>D38*H38</f>
        <v>627.90000000000009</v>
      </c>
      <c r="J38" s="141">
        <f>G38+I38</f>
        <v>1255.8000000000002</v>
      </c>
      <c r="K38" s="77"/>
      <c r="L38" s="117">
        <v>5.98</v>
      </c>
      <c r="M38" s="321">
        <v>3</v>
      </c>
      <c r="N38" s="312"/>
      <c r="O38" s="30"/>
      <c r="P38" s="118" t="s">
        <v>64</v>
      </c>
      <c r="Q38" s="118" t="s">
        <v>65</v>
      </c>
      <c r="R38" s="119">
        <v>615</v>
      </c>
      <c r="S38" s="119">
        <f>R38*1.5</f>
        <v>922.5</v>
      </c>
      <c r="T38" s="143">
        <f>S38/27.12</f>
        <v>34.015486725663713</v>
      </c>
      <c r="U38" s="143"/>
      <c r="V38" s="118"/>
      <c r="W38" s="106"/>
      <c r="X38" s="56"/>
    </row>
    <row r="39" spans="2:24" s="21" customFormat="1" ht="20.45" customHeight="1">
      <c r="B39" s="67"/>
      <c r="C39" s="144" t="s">
        <v>66</v>
      </c>
      <c r="D39" s="100">
        <f>L39*M39</f>
        <v>13.169999999999998</v>
      </c>
      <c r="E39" s="70" t="s">
        <v>29</v>
      </c>
      <c r="F39" s="51">
        <v>35</v>
      </c>
      <c r="G39" s="45">
        <f>D39*F39</f>
        <v>460.94999999999993</v>
      </c>
      <c r="H39" s="45">
        <v>32</v>
      </c>
      <c r="I39" s="45">
        <f>D39*H39</f>
        <v>421.43999999999994</v>
      </c>
      <c r="J39" s="45">
        <f>G39+I39</f>
        <v>882.38999999999987</v>
      </c>
      <c r="K39" s="69"/>
      <c r="L39" s="58">
        <v>4.3899999999999997</v>
      </c>
      <c r="M39" s="321">
        <v>3</v>
      </c>
      <c r="N39" s="311"/>
      <c r="O39" s="30"/>
      <c r="P39" s="118" t="s">
        <v>67</v>
      </c>
      <c r="Q39" s="118" t="s">
        <v>68</v>
      </c>
      <c r="R39" s="119">
        <v>223.86</v>
      </c>
      <c r="S39" s="119">
        <f>R39*1.5</f>
        <v>335.79</v>
      </c>
      <c r="T39" s="143">
        <f>S39/10.8</f>
        <v>31.091666666666665</v>
      </c>
      <c r="U39" s="143"/>
      <c r="V39" s="118"/>
      <c r="W39" s="106"/>
      <c r="X39" s="56"/>
    </row>
    <row r="40" spans="2:24" s="17" customFormat="1" ht="21.75" customHeight="1">
      <c r="B40" s="107"/>
      <c r="C40" s="68"/>
      <c r="D40" s="117"/>
      <c r="E40" s="70"/>
      <c r="F40" s="141"/>
      <c r="G40" s="141"/>
      <c r="H40" s="142"/>
      <c r="I40" s="141"/>
      <c r="J40" s="141"/>
      <c r="K40" s="77"/>
      <c r="L40" s="117"/>
      <c r="M40" s="321">
        <v>3</v>
      </c>
      <c r="N40" s="312"/>
      <c r="O40" s="78"/>
      <c r="P40" s="147">
        <v>5.93</v>
      </c>
      <c r="Q40" s="148">
        <f>0.01*5</f>
        <v>0.05</v>
      </c>
      <c r="R40" s="147">
        <f>P40+Q40</f>
        <v>5.9799999999999995</v>
      </c>
      <c r="S40" s="147"/>
      <c r="T40" s="78"/>
      <c r="U40" s="78"/>
      <c r="V40" s="78"/>
      <c r="W40" s="78"/>
      <c r="X40" s="43"/>
    </row>
    <row r="41" spans="2:24" s="21" customFormat="1" ht="21.95" customHeight="1">
      <c r="B41" s="149"/>
      <c r="C41" s="150" t="s">
        <v>69</v>
      </c>
      <c r="D41" s="81">
        <v>7</v>
      </c>
      <c r="E41" s="82" t="s">
        <v>19</v>
      </c>
      <c r="F41" s="151"/>
      <c r="G41" s="151">
        <f>SUM(G20:G40)</f>
        <v>24981.086340000002</v>
      </c>
      <c r="H41" s="83"/>
      <c r="I41" s="151">
        <f>SUM(I20:I40)</f>
        <v>10360.997099999999</v>
      </c>
      <c r="J41" s="151">
        <f>SUM(J20:J40)</f>
        <v>35342.083440000002</v>
      </c>
      <c r="K41" s="152"/>
      <c r="L41" s="81">
        <v>1</v>
      </c>
      <c r="M41" s="321"/>
      <c r="N41" s="313"/>
      <c r="O41" s="26" t="str">
        <f>IF((G41+I41)=J41," ","ผิดพลาด")</f>
        <v xml:space="preserve"> </v>
      </c>
      <c r="P41" s="13"/>
    </row>
    <row r="42" spans="2:24" s="21" customFormat="1" ht="21.95" customHeight="1">
      <c r="B42" s="153"/>
      <c r="C42" s="88" t="s">
        <v>168</v>
      </c>
      <c r="D42" s="89">
        <v>2</v>
      </c>
      <c r="E42" s="90" t="s">
        <v>70</v>
      </c>
      <c r="F42" s="91"/>
      <c r="G42" s="91"/>
      <c r="H42" s="92"/>
      <c r="I42" s="91"/>
      <c r="J42" s="91">
        <f>D42*J51</f>
        <v>92908.86</v>
      </c>
      <c r="K42" s="154"/>
      <c r="L42" s="89">
        <v>1</v>
      </c>
      <c r="M42" s="321"/>
      <c r="N42" s="308"/>
      <c r="O42" s="13"/>
      <c r="P42" s="155">
        <f>D42*J63</f>
        <v>2680</v>
      </c>
    </row>
    <row r="43" spans="2:24" s="21" customFormat="1" ht="21.95" customHeight="1">
      <c r="B43" s="156"/>
      <c r="C43" s="108" t="s">
        <v>71</v>
      </c>
      <c r="D43" s="100"/>
      <c r="E43" s="157"/>
      <c r="F43" s="158"/>
      <c r="G43" s="159"/>
      <c r="H43" s="159"/>
      <c r="I43" s="159"/>
      <c r="J43" s="160"/>
      <c r="K43" s="161"/>
      <c r="L43" s="100"/>
      <c r="M43" s="321"/>
      <c r="N43" s="314"/>
      <c r="O43" s="17"/>
      <c r="P43" s="13"/>
    </row>
    <row r="44" spans="2:24" s="21" customFormat="1" ht="21.95" customHeight="1">
      <c r="B44" s="156"/>
      <c r="C44" s="99" t="s">
        <v>150</v>
      </c>
      <c r="D44" s="100">
        <f>L44*M44</f>
        <v>17</v>
      </c>
      <c r="E44" s="101" t="s">
        <v>40</v>
      </c>
      <c r="F44" s="159">
        <v>26.64</v>
      </c>
      <c r="G44" s="159">
        <f>+D44*F44</f>
        <v>452.88</v>
      </c>
      <c r="H44" s="159">
        <v>10</v>
      </c>
      <c r="I44" s="159">
        <f>+D44*H44</f>
        <v>170</v>
      </c>
      <c r="J44" s="159">
        <f>+G44+I44</f>
        <v>622.88</v>
      </c>
      <c r="K44" s="123"/>
      <c r="L44" s="100">
        <v>8.5</v>
      </c>
      <c r="M44" s="321">
        <v>2</v>
      </c>
      <c r="N44" s="312"/>
      <c r="P44" s="162" t="s">
        <v>72</v>
      </c>
      <c r="Q44" s="163">
        <f>6*1.39</f>
        <v>8.34</v>
      </c>
      <c r="R44" s="164"/>
      <c r="S44" s="164"/>
    </row>
    <row r="45" spans="2:24" s="21" customFormat="1" ht="21.95" customHeight="1">
      <c r="B45" s="165"/>
      <c r="C45" s="166" t="s">
        <v>51</v>
      </c>
      <c r="D45" s="100"/>
      <c r="E45" s="101"/>
      <c r="F45" s="167"/>
      <c r="G45" s="159"/>
      <c r="H45" s="159"/>
      <c r="I45" s="159"/>
      <c r="J45" s="159"/>
      <c r="K45" s="123"/>
      <c r="L45" s="100"/>
      <c r="M45" s="321"/>
      <c r="N45" s="312"/>
      <c r="P45" s="168" t="s">
        <v>73</v>
      </c>
      <c r="Q45" s="168" t="s">
        <v>74</v>
      </c>
      <c r="R45" s="169" t="s">
        <v>75</v>
      </c>
      <c r="S45" s="169" t="s">
        <v>76</v>
      </c>
    </row>
    <row r="46" spans="2:24" s="21" customFormat="1" ht="21.95" customHeight="1">
      <c r="B46" s="170"/>
      <c r="C46" s="99" t="s">
        <v>149</v>
      </c>
      <c r="D46" s="100">
        <f>L46*M46</f>
        <v>370</v>
      </c>
      <c r="E46" s="101" t="s">
        <v>40</v>
      </c>
      <c r="F46" s="45">
        <v>31.11</v>
      </c>
      <c r="G46" s="159">
        <f>+D46*F46</f>
        <v>11510.699999999999</v>
      </c>
      <c r="H46" s="159">
        <v>10</v>
      </c>
      <c r="I46" s="159">
        <f>+D46*H46</f>
        <v>3700</v>
      </c>
      <c r="J46" s="159">
        <f>+G46+I46</f>
        <v>15210.699999999999</v>
      </c>
      <c r="K46" s="69" t="s">
        <v>53</v>
      </c>
      <c r="L46" s="100">
        <v>185</v>
      </c>
      <c r="M46" s="321">
        <v>2</v>
      </c>
      <c r="N46" s="311"/>
      <c r="O46" s="171">
        <f>27.5*6.72</f>
        <v>184.79999999999998</v>
      </c>
      <c r="P46" s="172">
        <f>5*5*4.92</f>
        <v>123</v>
      </c>
      <c r="Q46" s="168" t="s">
        <v>77</v>
      </c>
      <c r="R46" s="173">
        <f>530*1.4</f>
        <v>742</v>
      </c>
      <c r="S46" s="174">
        <f>R46/29.5</f>
        <v>25.152542372881356</v>
      </c>
    </row>
    <row r="47" spans="2:24" s="21" customFormat="1" ht="21.95" customHeight="1">
      <c r="B47" s="170"/>
      <c r="C47" s="166" t="s">
        <v>78</v>
      </c>
      <c r="D47" s="100"/>
      <c r="E47" s="101"/>
      <c r="F47" s="167"/>
      <c r="G47" s="159"/>
      <c r="H47" s="159"/>
      <c r="I47" s="159"/>
      <c r="J47" s="159"/>
      <c r="K47" s="70"/>
      <c r="L47" s="100"/>
      <c r="M47" s="321"/>
      <c r="N47" s="311"/>
    </row>
    <row r="48" spans="2:24" s="21" customFormat="1" ht="21.95" customHeight="1">
      <c r="B48" s="170"/>
      <c r="C48" s="99" t="s">
        <v>79</v>
      </c>
      <c r="D48" s="100">
        <f>L48*M48</f>
        <v>71.16</v>
      </c>
      <c r="E48" s="101" t="s">
        <v>29</v>
      </c>
      <c r="F48" s="102">
        <v>300</v>
      </c>
      <c r="G48" s="159">
        <f>+D48*F48</f>
        <v>21348</v>
      </c>
      <c r="H48" s="159">
        <v>70</v>
      </c>
      <c r="I48" s="159">
        <f>+D48*H48</f>
        <v>4981.2</v>
      </c>
      <c r="J48" s="159">
        <f>+G48+I48</f>
        <v>26329.200000000001</v>
      </c>
      <c r="K48" s="70"/>
      <c r="L48" s="100">
        <v>35.58</v>
      </c>
      <c r="M48" s="321">
        <v>2</v>
      </c>
      <c r="N48" s="311"/>
      <c r="P48" s="168" t="s">
        <v>80</v>
      </c>
      <c r="Q48" s="173">
        <v>6.2</v>
      </c>
      <c r="R48" s="169" t="s">
        <v>81</v>
      </c>
      <c r="S48" s="164"/>
    </row>
    <row r="49" spans="2:24" s="21" customFormat="1" ht="21.95" customHeight="1">
      <c r="B49" s="175"/>
      <c r="C49" s="68" t="s">
        <v>60</v>
      </c>
      <c r="D49" s="100">
        <f>L49*M49</f>
        <v>28.05</v>
      </c>
      <c r="E49" s="70" t="s">
        <v>29</v>
      </c>
      <c r="F49" s="141">
        <v>45</v>
      </c>
      <c r="G49" s="141">
        <f>D49*F49</f>
        <v>1262.25</v>
      </c>
      <c r="H49" s="142">
        <v>35</v>
      </c>
      <c r="I49" s="141">
        <f>D49*H49</f>
        <v>981.75</v>
      </c>
      <c r="J49" s="141">
        <f>G49+I49</f>
        <v>2244</v>
      </c>
      <c r="K49" s="70"/>
      <c r="L49" s="117">
        <v>14.025</v>
      </c>
      <c r="M49" s="321">
        <v>2</v>
      </c>
      <c r="N49" s="311"/>
      <c r="P49" s="168" t="s">
        <v>82</v>
      </c>
      <c r="Q49" s="173">
        <v>5</v>
      </c>
      <c r="R49" s="173">
        <f>Q48*Q49</f>
        <v>31</v>
      </c>
      <c r="S49" s="164"/>
    </row>
    <row r="50" spans="2:24" s="21" customFormat="1" ht="21.95" customHeight="1">
      <c r="B50" s="165"/>
      <c r="C50" s="68" t="s">
        <v>63</v>
      </c>
      <c r="D50" s="100">
        <f>L50*M50</f>
        <v>28.05</v>
      </c>
      <c r="E50" s="70" t="s">
        <v>29</v>
      </c>
      <c r="F50" s="141">
        <v>38</v>
      </c>
      <c r="G50" s="141">
        <f>D50*F50</f>
        <v>1065.9000000000001</v>
      </c>
      <c r="H50" s="142">
        <v>35</v>
      </c>
      <c r="I50" s="141">
        <f>D50*H50</f>
        <v>981.75</v>
      </c>
      <c r="J50" s="141">
        <f>G50+I50</f>
        <v>2047.65</v>
      </c>
      <c r="K50" s="70"/>
      <c r="L50" s="117">
        <v>14.025</v>
      </c>
      <c r="M50" s="321">
        <v>2</v>
      </c>
      <c r="N50" s="311"/>
      <c r="P50" s="176"/>
      <c r="Q50" s="13"/>
    </row>
    <row r="51" spans="2:24" s="21" customFormat="1" ht="21.95" customHeight="1">
      <c r="B51" s="177"/>
      <c r="C51" s="178" t="s">
        <v>83</v>
      </c>
      <c r="D51" s="81">
        <v>2</v>
      </c>
      <c r="E51" s="82" t="s">
        <v>70</v>
      </c>
      <c r="F51" s="179"/>
      <c r="G51" s="151">
        <f>SUM(G43:G50)</f>
        <v>35639.730000000003</v>
      </c>
      <c r="H51" s="83"/>
      <c r="I51" s="151">
        <f>SUM(I43:I50)</f>
        <v>10814.7</v>
      </c>
      <c r="J51" s="151">
        <f>SUM(J43:J50)</f>
        <v>46454.43</v>
      </c>
      <c r="K51" s="180"/>
      <c r="L51" s="81">
        <v>1</v>
      </c>
      <c r="M51" s="321"/>
      <c r="N51" s="315"/>
      <c r="O51" s="26" t="str">
        <f>IF((G51+I51)=J51," ","ผิดพลาด")</f>
        <v xml:space="preserve"> </v>
      </c>
      <c r="P51" s="145" t="s">
        <v>84</v>
      </c>
      <c r="Q51" s="146"/>
      <c r="R51" s="146"/>
      <c r="S51" s="145"/>
    </row>
    <row r="52" spans="2:24" s="21" customFormat="1" ht="21.95" customHeight="1">
      <c r="B52" s="181"/>
      <c r="C52" s="182" t="s">
        <v>165</v>
      </c>
      <c r="D52" s="183"/>
      <c r="E52" s="184"/>
      <c r="F52" s="185"/>
      <c r="G52" s="185"/>
      <c r="H52" s="186"/>
      <c r="I52" s="185"/>
      <c r="J52" s="185"/>
      <c r="K52" s="187"/>
      <c r="L52" s="183"/>
      <c r="M52" s="321"/>
      <c r="N52" s="316"/>
      <c r="O52" s="26"/>
      <c r="P52" s="147">
        <v>14.025</v>
      </c>
      <c r="Q52" s="148"/>
      <c r="R52" s="147"/>
      <c r="S52" s="147"/>
    </row>
    <row r="53" spans="2:24" s="191" customFormat="1" ht="21.95" customHeight="1">
      <c r="B53" s="188"/>
      <c r="C53" s="189" t="s">
        <v>51</v>
      </c>
      <c r="D53" s="100"/>
      <c r="E53" s="101"/>
      <c r="F53" s="167"/>
      <c r="G53" s="159"/>
      <c r="H53" s="159"/>
      <c r="I53" s="159"/>
      <c r="J53" s="159"/>
      <c r="K53" s="190"/>
      <c r="L53" s="100"/>
      <c r="M53" s="321"/>
      <c r="N53" s="317"/>
      <c r="O53" s="21"/>
      <c r="P53" s="21"/>
      <c r="Q53" s="17"/>
    </row>
    <row r="54" spans="2:24" s="191" customFormat="1" ht="21.95" customHeight="1">
      <c r="B54" s="165"/>
      <c r="C54" s="192" t="s">
        <v>152</v>
      </c>
      <c r="D54" s="100">
        <f t="shared" ref="D54:D59" si="1">L54*M54</f>
        <v>98.4</v>
      </c>
      <c r="E54" s="34" t="s">
        <v>40</v>
      </c>
      <c r="F54" s="45">
        <v>31.11</v>
      </c>
      <c r="G54" s="159">
        <f>+D54*F54</f>
        <v>3061.2240000000002</v>
      </c>
      <c r="H54" s="102">
        <v>10</v>
      </c>
      <c r="I54" s="102">
        <f>+D54*H54</f>
        <v>984</v>
      </c>
      <c r="J54" s="102">
        <f>+G54+I54</f>
        <v>4045.2240000000002</v>
      </c>
      <c r="K54" s="69" t="s">
        <v>53</v>
      </c>
      <c r="L54" s="100">
        <v>49.2</v>
      </c>
      <c r="M54" s="321">
        <v>2</v>
      </c>
      <c r="N54" s="311"/>
      <c r="O54" s="21"/>
      <c r="P54" s="193" t="s">
        <v>73</v>
      </c>
      <c r="Q54" s="193" t="s">
        <v>74</v>
      </c>
      <c r="R54" s="194" t="s">
        <v>75</v>
      </c>
      <c r="S54" s="194" t="s">
        <v>76</v>
      </c>
    </row>
    <row r="55" spans="2:24" s="21" customFormat="1" ht="21.95" customHeight="1">
      <c r="B55" s="165"/>
      <c r="C55" s="192" t="s">
        <v>85</v>
      </c>
      <c r="D55" s="100">
        <f t="shared" si="1"/>
        <v>20</v>
      </c>
      <c r="E55" s="34" t="s">
        <v>57</v>
      </c>
      <c r="F55" s="102">
        <v>75</v>
      </c>
      <c r="G55" s="102">
        <f>+D55*F55</f>
        <v>1500</v>
      </c>
      <c r="H55" s="102">
        <v>0</v>
      </c>
      <c r="I55" s="102">
        <f>+D55*H55</f>
        <v>0</v>
      </c>
      <c r="J55" s="102">
        <f>+G55+I55</f>
        <v>1500</v>
      </c>
      <c r="K55" s="195"/>
      <c r="L55" s="100">
        <v>10</v>
      </c>
      <c r="M55" s="321">
        <v>2</v>
      </c>
      <c r="N55" s="316"/>
      <c r="P55" s="196">
        <f>2*5*4.92</f>
        <v>49.2</v>
      </c>
      <c r="Q55" s="193" t="s">
        <v>77</v>
      </c>
      <c r="R55" s="197">
        <f>530*1.4</f>
        <v>742</v>
      </c>
      <c r="S55" s="198">
        <f>R55/29.5</f>
        <v>25.152542372881356</v>
      </c>
    </row>
    <row r="56" spans="2:24" s="21" customFormat="1" ht="21.95" customHeight="1">
      <c r="B56" s="165"/>
      <c r="C56" s="189" t="s">
        <v>78</v>
      </c>
      <c r="D56" s="100">
        <f t="shared" si="1"/>
        <v>0</v>
      </c>
      <c r="E56" s="34"/>
      <c r="F56" s="103"/>
      <c r="G56" s="102"/>
      <c r="H56" s="102"/>
      <c r="I56" s="102"/>
      <c r="J56" s="102"/>
      <c r="K56" s="195"/>
      <c r="L56" s="100"/>
      <c r="M56" s="321">
        <v>2</v>
      </c>
      <c r="N56" s="316"/>
      <c r="P56" s="168" t="s">
        <v>80</v>
      </c>
      <c r="Q56" s="173">
        <v>6.2</v>
      </c>
      <c r="R56" s="169" t="s">
        <v>81</v>
      </c>
      <c r="S56" s="30"/>
      <c r="T56" s="56"/>
      <c r="U56" s="56"/>
      <c r="V56" s="56"/>
      <c r="W56" s="56"/>
      <c r="X56" s="56"/>
    </row>
    <row r="57" spans="2:24" s="21" customFormat="1" ht="21.95" customHeight="1">
      <c r="B57" s="165"/>
      <c r="C57" s="192" t="s">
        <v>79</v>
      </c>
      <c r="D57" s="100">
        <f t="shared" si="1"/>
        <v>24.8</v>
      </c>
      <c r="E57" s="34" t="s">
        <v>29</v>
      </c>
      <c r="F57" s="102">
        <v>300</v>
      </c>
      <c r="G57" s="102">
        <f>+D57*F57</f>
        <v>7440</v>
      </c>
      <c r="H57" s="102">
        <v>70</v>
      </c>
      <c r="I57" s="102">
        <f>+D57*H57</f>
        <v>1736</v>
      </c>
      <c r="J57" s="102">
        <f>+G57+I57</f>
        <v>9176</v>
      </c>
      <c r="K57" s="195"/>
      <c r="L57" s="100">
        <v>12.4</v>
      </c>
      <c r="M57" s="321">
        <v>2</v>
      </c>
      <c r="N57" s="316"/>
      <c r="P57" s="168" t="s">
        <v>86</v>
      </c>
      <c r="Q57" s="173">
        <v>1</v>
      </c>
      <c r="R57" s="173">
        <f>Q56*Q57*2</f>
        <v>12.4</v>
      </c>
    </row>
    <row r="58" spans="2:24" s="21" customFormat="1" ht="21.95" customHeight="1">
      <c r="B58" s="165"/>
      <c r="C58" s="68" t="s">
        <v>60</v>
      </c>
      <c r="D58" s="100">
        <f t="shared" si="1"/>
        <v>11.2</v>
      </c>
      <c r="E58" s="70" t="s">
        <v>29</v>
      </c>
      <c r="F58" s="141">
        <v>45</v>
      </c>
      <c r="G58" s="141">
        <f>D58*F58</f>
        <v>503.99999999999994</v>
      </c>
      <c r="H58" s="142">
        <v>35</v>
      </c>
      <c r="I58" s="141">
        <f>D58*H58</f>
        <v>392</v>
      </c>
      <c r="J58" s="141">
        <f>G58+I58</f>
        <v>896</v>
      </c>
      <c r="K58" s="70"/>
      <c r="L58" s="117">
        <v>5.6</v>
      </c>
      <c r="M58" s="321">
        <v>2</v>
      </c>
      <c r="N58" s="311"/>
      <c r="P58" s="145" t="s">
        <v>84</v>
      </c>
      <c r="Q58" s="146"/>
      <c r="R58" s="146"/>
      <c r="S58" s="145"/>
    </row>
    <row r="59" spans="2:24" s="21" customFormat="1" ht="21.95" customHeight="1">
      <c r="B59" s="188"/>
      <c r="C59" s="68" t="s">
        <v>63</v>
      </c>
      <c r="D59" s="100">
        <f t="shared" si="1"/>
        <v>11.2</v>
      </c>
      <c r="E59" s="70" t="s">
        <v>29</v>
      </c>
      <c r="F59" s="141">
        <v>38</v>
      </c>
      <c r="G59" s="141">
        <f>D59*F59</f>
        <v>425.59999999999997</v>
      </c>
      <c r="H59" s="142">
        <v>35</v>
      </c>
      <c r="I59" s="141">
        <f>D59*H59</f>
        <v>392</v>
      </c>
      <c r="J59" s="141">
        <f>G59+I59</f>
        <v>817.59999999999991</v>
      </c>
      <c r="K59" s="70"/>
      <c r="L59" s="117">
        <v>5.6</v>
      </c>
      <c r="M59" s="321">
        <v>2</v>
      </c>
      <c r="N59" s="311"/>
      <c r="P59" s="145">
        <f>2*2.8</f>
        <v>5.6</v>
      </c>
      <c r="Q59" s="199"/>
      <c r="R59" s="145"/>
      <c r="S59" s="145"/>
    </row>
    <row r="60" spans="2:24" s="21" customFormat="1" ht="21.95" customHeight="1">
      <c r="B60" s="177"/>
      <c r="C60" s="178" t="s">
        <v>87</v>
      </c>
      <c r="D60" s="81"/>
      <c r="E60" s="82"/>
      <c r="F60" s="179"/>
      <c r="G60" s="151">
        <f>SUM(G54:G59)</f>
        <v>12930.824000000001</v>
      </c>
      <c r="H60" s="83"/>
      <c r="I60" s="151">
        <f>SUM(I54:I59)</f>
        <v>3504</v>
      </c>
      <c r="J60" s="151">
        <f>SUM(J54:J59)</f>
        <v>16434.824000000001</v>
      </c>
      <c r="K60" s="180"/>
      <c r="L60" s="81"/>
      <c r="M60" s="321"/>
      <c r="N60" s="315"/>
      <c r="O60" s="26" t="str">
        <f>IF((G60+I60)=J60," ","ผิดพลาด")</f>
        <v xml:space="preserve"> </v>
      </c>
      <c r="P60" s="164"/>
      <c r="Q60" s="200" t="s">
        <v>88</v>
      </c>
      <c r="R60" s="200" t="s">
        <v>89</v>
      </c>
      <c r="S60" s="200" t="s">
        <v>90</v>
      </c>
      <c r="T60" s="200" t="s">
        <v>91</v>
      </c>
      <c r="U60" s="200" t="s">
        <v>7</v>
      </c>
    </row>
    <row r="61" spans="2:24" s="21" customFormat="1" ht="21.95" customHeight="1">
      <c r="B61" s="31"/>
      <c r="C61" s="182" t="s">
        <v>166</v>
      </c>
      <c r="D61" s="201"/>
      <c r="E61" s="202"/>
      <c r="F61" s="203"/>
      <c r="G61" s="204"/>
      <c r="H61" s="205"/>
      <c r="I61" s="206"/>
      <c r="J61" s="203"/>
      <c r="K61" s="22"/>
      <c r="L61" s="201"/>
      <c r="M61" s="321"/>
      <c r="N61" s="318"/>
      <c r="O61" s="207"/>
      <c r="P61" s="164" t="s">
        <v>92</v>
      </c>
      <c r="Q61" s="208">
        <v>6.2</v>
      </c>
      <c r="R61" s="209">
        <v>5.2</v>
      </c>
      <c r="S61" s="200">
        <v>4</v>
      </c>
      <c r="T61" s="200">
        <v>5</v>
      </c>
      <c r="U61" s="200"/>
    </row>
    <row r="62" spans="2:24" s="21" customFormat="1" ht="21.95" customHeight="1">
      <c r="B62" s="23"/>
      <c r="C62" s="68" t="s">
        <v>93</v>
      </c>
      <c r="D62" s="58">
        <v>4</v>
      </c>
      <c r="E62" s="70" t="s">
        <v>29</v>
      </c>
      <c r="F62" s="51">
        <v>300</v>
      </c>
      <c r="G62" s="45">
        <f>D62*F62</f>
        <v>1200</v>
      </c>
      <c r="H62" s="45">
        <v>35</v>
      </c>
      <c r="I62" s="45">
        <f>D62*H62</f>
        <v>140</v>
      </c>
      <c r="J62" s="45">
        <f>G62+I62</f>
        <v>1340</v>
      </c>
      <c r="K62" s="210"/>
      <c r="L62" s="58">
        <f>1.6+0.88</f>
        <v>2.48</v>
      </c>
      <c r="M62" s="321">
        <v>2</v>
      </c>
      <c r="N62" s="319"/>
      <c r="O62" s="207"/>
      <c r="P62" s="211">
        <v>0.1</v>
      </c>
      <c r="Q62" s="200"/>
      <c r="R62" s="200"/>
      <c r="S62" s="209">
        <f>Q61*S61*P62</f>
        <v>2.4800000000000004</v>
      </c>
      <c r="T62" s="209">
        <f>T61*R61*P62</f>
        <v>2.6</v>
      </c>
      <c r="U62" s="209">
        <f>S62+T62</f>
        <v>5.08</v>
      </c>
    </row>
    <row r="63" spans="2:24" s="21" customFormat="1" ht="21.95" customHeight="1">
      <c r="B63" s="177"/>
      <c r="C63" s="178" t="s">
        <v>94</v>
      </c>
      <c r="D63" s="81"/>
      <c r="E63" s="82"/>
      <c r="F63" s="179"/>
      <c r="G63" s="151">
        <f>SUM(G62:G62)</f>
        <v>1200</v>
      </c>
      <c r="H63" s="83"/>
      <c r="I63" s="151">
        <f>SUM(I62:I62)</f>
        <v>140</v>
      </c>
      <c r="J63" s="151">
        <f>SUM(J62:J62)</f>
        <v>1340</v>
      </c>
      <c r="K63" s="180"/>
      <c r="L63" s="81"/>
      <c r="M63" s="321"/>
      <c r="N63" s="315"/>
      <c r="O63" s="26" t="str">
        <f>IF((G63+I63)=J63," ","ผิดพลาด")</f>
        <v xml:space="preserve"> </v>
      </c>
      <c r="P63" s="174">
        <f>0.2*(1+1+0.3+0.3)</f>
        <v>0.51999999999999991</v>
      </c>
      <c r="Q63" s="212">
        <f>(0.045+0.045+0.094+0.094)</f>
        <v>0.27800000000000002</v>
      </c>
      <c r="R63" s="172">
        <v>0.08</v>
      </c>
      <c r="S63" s="174">
        <f>P63+Q63+R63</f>
        <v>0.87799999999999989</v>
      </c>
      <c r="T63" s="213">
        <f>S63*5</f>
        <v>4.3899999999999997</v>
      </c>
      <c r="U63" s="168"/>
    </row>
    <row r="64" spans="2:24" s="21" customFormat="1" ht="21.95" customHeight="1">
      <c r="B64" s="18"/>
      <c r="C64" s="214" t="s">
        <v>167</v>
      </c>
      <c r="D64" s="27"/>
      <c r="E64" s="28"/>
      <c r="F64" s="29"/>
      <c r="G64" s="18"/>
      <c r="H64" s="18"/>
      <c r="I64" s="18"/>
      <c r="J64" s="18"/>
      <c r="K64" s="28"/>
      <c r="L64" s="27"/>
      <c r="M64" s="321"/>
      <c r="N64" s="309"/>
    </row>
    <row r="65" spans="2:15" s="21" customFormat="1" ht="21.95" customHeight="1">
      <c r="B65" s="31"/>
      <c r="C65" s="32" t="s">
        <v>178</v>
      </c>
      <c r="D65" s="215">
        <v>198</v>
      </c>
      <c r="E65" s="216" t="s">
        <v>29</v>
      </c>
      <c r="F65" s="217"/>
      <c r="G65" s="217"/>
      <c r="H65" s="217"/>
      <c r="I65" s="217"/>
      <c r="J65" s="217"/>
      <c r="K65" s="37"/>
      <c r="L65" s="215">
        <v>46.5</v>
      </c>
      <c r="M65" s="321">
        <v>2</v>
      </c>
      <c r="N65" s="310"/>
    </row>
    <row r="66" spans="2:15" s="21" customFormat="1" ht="21.95" customHeight="1">
      <c r="B66" s="67"/>
      <c r="C66" s="108" t="s">
        <v>96</v>
      </c>
      <c r="D66" s="215">
        <v>9.9</v>
      </c>
      <c r="E66" s="101" t="s">
        <v>24</v>
      </c>
      <c r="F66" s="102">
        <v>462</v>
      </c>
      <c r="G66" s="102">
        <f>+D66*F66</f>
        <v>4573.8</v>
      </c>
      <c r="H66" s="103">
        <v>104</v>
      </c>
      <c r="I66" s="102">
        <f>+D66*H66</f>
        <v>1029.6000000000001</v>
      </c>
      <c r="J66" s="102">
        <f>+G66+I66</f>
        <v>5603.4000000000005</v>
      </c>
      <c r="K66" s="37"/>
      <c r="L66" s="100">
        <f>L65*0.1</f>
        <v>4.6500000000000004</v>
      </c>
      <c r="M66" s="321">
        <v>2</v>
      </c>
      <c r="N66" s="310"/>
    </row>
    <row r="67" spans="2:15" s="21" customFormat="1" ht="21.95" customHeight="1">
      <c r="B67" s="31"/>
      <c r="C67" s="99" t="s">
        <v>97</v>
      </c>
      <c r="D67" s="215">
        <v>19.8</v>
      </c>
      <c r="E67" s="101" t="s">
        <v>24</v>
      </c>
      <c r="F67" s="51">
        <v>2140</v>
      </c>
      <c r="G67" s="102">
        <f>+D67*F67</f>
        <v>42372</v>
      </c>
      <c r="H67" s="103">
        <v>327</v>
      </c>
      <c r="I67" s="102">
        <f>+D67*H67</f>
        <v>6474.6</v>
      </c>
      <c r="J67" s="102">
        <f>+G67+I67</f>
        <v>48846.6</v>
      </c>
      <c r="K67" s="37"/>
      <c r="L67" s="100">
        <f>L65*0.15</f>
        <v>6.9749999999999996</v>
      </c>
      <c r="M67" s="321">
        <v>2</v>
      </c>
      <c r="N67" s="310"/>
    </row>
    <row r="68" spans="2:15" s="21" customFormat="1" ht="21.95" customHeight="1">
      <c r="B68" s="31"/>
      <c r="C68" s="99" t="s">
        <v>98</v>
      </c>
      <c r="D68" s="215">
        <v>9</v>
      </c>
      <c r="E68" s="71" t="s">
        <v>29</v>
      </c>
      <c r="F68" s="72">
        <v>350</v>
      </c>
      <c r="G68" s="72">
        <f>ROUND(D68*F68,0)</f>
        <v>3150</v>
      </c>
      <c r="H68" s="73">
        <v>0</v>
      </c>
      <c r="I68" s="72">
        <f>ROUND(D68*H68,0)</f>
        <v>0</v>
      </c>
      <c r="J68" s="72">
        <f>G68+I68</f>
        <v>3150</v>
      </c>
      <c r="K68" s="37"/>
      <c r="L68" s="117">
        <f>L69*1</f>
        <v>4.1099999999999994</v>
      </c>
      <c r="M68" s="321">
        <v>2</v>
      </c>
      <c r="N68" s="310"/>
    </row>
    <row r="69" spans="2:15" s="21" customFormat="1" ht="21.95" customHeight="1">
      <c r="B69" s="31"/>
      <c r="C69" s="108" t="s">
        <v>99</v>
      </c>
      <c r="D69" s="215">
        <v>9</v>
      </c>
      <c r="E69" s="71" t="s">
        <v>29</v>
      </c>
      <c r="F69" s="72">
        <v>0</v>
      </c>
      <c r="G69" s="72">
        <f>ROUND(D69*F69,0)</f>
        <v>0</v>
      </c>
      <c r="H69" s="72">
        <v>139</v>
      </c>
      <c r="I69" s="72">
        <f>ROUND(D69*H69,0)</f>
        <v>1251</v>
      </c>
      <c r="J69" s="72">
        <f>G69+I69</f>
        <v>1251</v>
      </c>
      <c r="K69" s="37"/>
      <c r="L69" s="58">
        <f>27.4*0.15</f>
        <v>4.1099999999999994</v>
      </c>
      <c r="M69" s="321">
        <v>2</v>
      </c>
      <c r="N69" s="310"/>
    </row>
    <row r="70" spans="2:15" s="21" customFormat="1" ht="21.95" customHeight="1">
      <c r="B70" s="31"/>
      <c r="C70" s="108" t="s">
        <v>100</v>
      </c>
      <c r="D70" s="215">
        <v>5</v>
      </c>
      <c r="E70" s="71" t="s">
        <v>38</v>
      </c>
      <c r="F70" s="72">
        <v>150</v>
      </c>
      <c r="G70" s="72">
        <f>ROUND(D70*F70,0)</f>
        <v>750</v>
      </c>
      <c r="H70" s="72">
        <v>0</v>
      </c>
      <c r="I70" s="72">
        <f>ROUND(D70*H70,0)</f>
        <v>0</v>
      </c>
      <c r="J70" s="72">
        <f>G70+I70</f>
        <v>750</v>
      </c>
      <c r="K70" s="37"/>
      <c r="L70" s="58">
        <f>L68*0.3</f>
        <v>1.2329999999999999</v>
      </c>
      <c r="M70" s="321">
        <v>2</v>
      </c>
      <c r="N70" s="310"/>
    </row>
    <row r="71" spans="2:15" s="21" customFormat="1" ht="21.95" customHeight="1">
      <c r="B71" s="31"/>
      <c r="C71" s="108" t="s">
        <v>39</v>
      </c>
      <c r="D71" s="215">
        <v>5</v>
      </c>
      <c r="E71" s="70" t="s">
        <v>40</v>
      </c>
      <c r="F71" s="45">
        <v>48</v>
      </c>
      <c r="G71" s="45">
        <f>D71*F71</f>
        <v>240</v>
      </c>
      <c r="H71" s="45">
        <v>0</v>
      </c>
      <c r="I71" s="45">
        <f>D71*H71</f>
        <v>0</v>
      </c>
      <c r="J71" s="45">
        <f>G71+I71</f>
        <v>240</v>
      </c>
      <c r="K71" s="37"/>
      <c r="L71" s="117">
        <f>L69*0.25</f>
        <v>1.0274999999999999</v>
      </c>
      <c r="M71" s="321">
        <v>2</v>
      </c>
      <c r="N71" s="310"/>
    </row>
    <row r="72" spans="2:15" s="21" customFormat="1" ht="21.95" customHeight="1">
      <c r="B72" s="67"/>
      <c r="C72" s="218" t="s">
        <v>153</v>
      </c>
      <c r="D72" s="215">
        <v>198</v>
      </c>
      <c r="E72" s="71" t="s">
        <v>29</v>
      </c>
      <c r="F72" s="72">
        <v>36</v>
      </c>
      <c r="G72" s="72">
        <f>ROUND(D72*F72,0)</f>
        <v>7128</v>
      </c>
      <c r="H72" s="72">
        <v>5</v>
      </c>
      <c r="I72" s="72">
        <f>ROUND(D72*H72,0)</f>
        <v>990</v>
      </c>
      <c r="J72" s="72">
        <f>G72+I72</f>
        <v>8118</v>
      </c>
      <c r="K72" s="37"/>
      <c r="L72" s="117">
        <f>L65</f>
        <v>46.5</v>
      </c>
      <c r="M72" s="321">
        <v>2</v>
      </c>
      <c r="N72" s="310"/>
      <c r="O72" s="21" t="s">
        <v>101</v>
      </c>
    </row>
    <row r="73" spans="2:15" s="21" customFormat="1" ht="21.95" customHeight="1">
      <c r="B73" s="23"/>
      <c r="C73" s="68"/>
      <c r="D73" s="117"/>
      <c r="E73" s="70"/>
      <c r="F73" s="219"/>
      <c r="G73" s="45"/>
      <c r="H73" s="45"/>
      <c r="I73" s="45"/>
      <c r="J73" s="45"/>
      <c r="K73" s="60"/>
      <c r="L73" s="310"/>
      <c r="M73" s="310"/>
      <c r="N73" s="310"/>
    </row>
    <row r="74" spans="2:15" s="21" customFormat="1" ht="21.95" customHeight="1">
      <c r="B74" s="31"/>
      <c r="C74" s="68"/>
      <c r="D74" s="74"/>
      <c r="E74" s="70"/>
      <c r="F74" s="45"/>
      <c r="G74" s="45"/>
      <c r="H74" s="76"/>
      <c r="I74" s="45"/>
      <c r="J74" s="45"/>
      <c r="K74" s="69"/>
      <c r="L74" s="311"/>
      <c r="M74" s="311"/>
      <c r="N74" s="311"/>
    </row>
    <row r="75" spans="2:15" s="21" customFormat="1" ht="21.95" customHeight="1">
      <c r="B75" s="79"/>
      <c r="C75" s="80" t="s">
        <v>102</v>
      </c>
      <c r="D75" s="81">
        <v>1</v>
      </c>
      <c r="E75" s="82" t="s">
        <v>103</v>
      </c>
      <c r="F75" s="83"/>
      <c r="G75" s="24">
        <f>SUM(G65:G74)</f>
        <v>58213.8</v>
      </c>
      <c r="H75" s="83"/>
      <c r="I75" s="24">
        <f>SUM(I65:I74)</f>
        <v>9745.2000000000007</v>
      </c>
      <c r="J75" s="24">
        <f>SUM(J65:J74)</f>
        <v>67959</v>
      </c>
      <c r="K75" s="25" t="s">
        <v>13</v>
      </c>
      <c r="L75" s="308"/>
      <c r="M75" s="308"/>
      <c r="N75" s="308"/>
      <c r="O75" s="26" t="str">
        <f>IF((G75+I75)=J75," ","ผิดพลาด")</f>
        <v xml:space="preserve"> </v>
      </c>
    </row>
    <row r="99" spans="3:15" ht="68.25" customHeight="1">
      <c r="C99" s="220" t="s">
        <v>104</v>
      </c>
      <c r="D99" s="221"/>
      <c r="E99" s="222" t="s">
        <v>105</v>
      </c>
      <c r="F99" s="223"/>
      <c r="G99" s="224" t="s">
        <v>106</v>
      </c>
      <c r="H99" s="225"/>
      <c r="I99" s="223"/>
      <c r="J99" s="223"/>
      <c r="K99" s="226"/>
      <c r="L99" s="231"/>
      <c r="M99" s="231"/>
      <c r="N99" s="231"/>
    </row>
    <row r="100" spans="3:15" ht="28.5" customHeight="1">
      <c r="C100" s="228" t="s">
        <v>107</v>
      </c>
      <c r="D100" s="229"/>
      <c r="E100" s="230">
        <f>10.81/6</f>
        <v>1.8016666666666667</v>
      </c>
      <c r="F100" s="231"/>
      <c r="G100" s="232">
        <v>242.5</v>
      </c>
      <c r="H100" s="231"/>
      <c r="I100" s="233">
        <f>G100*7%</f>
        <v>16.975000000000001</v>
      </c>
      <c r="J100" s="234">
        <f>G100+I100</f>
        <v>259.47500000000002</v>
      </c>
      <c r="K100" s="235"/>
      <c r="L100" s="231"/>
      <c r="M100" s="231"/>
      <c r="N100" s="231"/>
      <c r="O100" s="233">
        <f>J100/10.8</f>
        <v>24.025462962962962</v>
      </c>
    </row>
    <row r="101" spans="3:15" ht="30" customHeight="1">
      <c r="C101" s="228" t="s">
        <v>108</v>
      </c>
      <c r="D101" s="236"/>
      <c r="E101" s="230">
        <f>27.16/6</f>
        <v>4.5266666666666664</v>
      </c>
      <c r="F101" s="231"/>
      <c r="G101" s="228">
        <v>606.52</v>
      </c>
      <c r="H101" s="231"/>
      <c r="I101" s="233">
        <f>G101*7%</f>
        <v>42.456400000000002</v>
      </c>
      <c r="J101" s="234">
        <f>G101+I101</f>
        <v>648.97640000000001</v>
      </c>
      <c r="K101" s="235"/>
      <c r="L101" s="231"/>
      <c r="M101" s="231"/>
      <c r="N101" s="231"/>
      <c r="O101" s="233">
        <f>J101/27.16</f>
        <v>23.894565537555227</v>
      </c>
    </row>
    <row r="102" spans="3:15" ht="25.5" customHeight="1">
      <c r="C102" s="228" t="s">
        <v>109</v>
      </c>
      <c r="D102" s="237"/>
      <c r="E102" s="238">
        <f>46.62/6</f>
        <v>7.77</v>
      </c>
      <c r="F102" s="239"/>
      <c r="G102" s="240">
        <v>1042.8499999999999</v>
      </c>
      <c r="H102" s="239"/>
      <c r="I102" s="233">
        <f>G102*7%</f>
        <v>72.999499999999998</v>
      </c>
      <c r="J102" s="234">
        <f>G102+I102</f>
        <v>1115.8494999999998</v>
      </c>
      <c r="K102" s="241"/>
      <c r="L102" s="231"/>
      <c r="M102" s="231"/>
      <c r="N102" s="231"/>
      <c r="O102" s="233">
        <f>J102/46.72</f>
        <v>23.883764982876709</v>
      </c>
    </row>
    <row r="103" spans="3:15" ht="21.95" customHeight="1">
      <c r="C103" s="242" t="s">
        <v>110</v>
      </c>
      <c r="E103" s="244">
        <f>40.3/6</f>
        <v>6.7166666666666659</v>
      </c>
      <c r="G103" s="242">
        <v>861</v>
      </c>
      <c r="I103" s="233">
        <f>G103*7%</f>
        <v>60.27</v>
      </c>
      <c r="J103" s="234">
        <f>G103+I103</f>
        <v>921.27</v>
      </c>
      <c r="O103" s="233">
        <f>J103/40.3</f>
        <v>22.86029776674938</v>
      </c>
    </row>
  </sheetData>
  <mergeCells count="9">
    <mergeCell ref="K6:K7"/>
    <mergeCell ref="R35:T35"/>
    <mergeCell ref="B1:J1"/>
    <mergeCell ref="B6:B7"/>
    <mergeCell ref="C6:C7"/>
    <mergeCell ref="D6:D7"/>
    <mergeCell ref="E6:E7"/>
    <mergeCell ref="F6:G6"/>
    <mergeCell ref="H6:I6"/>
  </mergeCells>
  <printOptions horizontalCentered="1"/>
  <pageMargins left="0.31496062992125984" right="0.31496062992125984" top="0.59055118110236227" bottom="0.31496062992125984" header="0.19685039370078741" footer="0.19685039370078741"/>
  <pageSetup paperSize="9" scale="85" orientation="landscape" horizontalDpi="4294967293" r:id="rId1"/>
  <headerFooter>
    <oddHeader>&amp;R&amp;"TH SarabunPSK,ธรรมดา"แผ่นที่ &amp;P จาก &amp;N</oddHeader>
    <oddFooter>&amp;R&amp;"TH SarabunPSK,ธรรมดา"ความถูกต้องของปริมาณเป็นความรับผิดชอบของผู้เสนอราคา</oddFooter>
  </headerFooter>
  <rowBreaks count="4" manualBreakCount="4">
    <brk id="18" min="1" max="10" man="1"/>
    <brk id="41" min="1" max="10" man="1"/>
    <brk id="63" min="1" max="10" man="1"/>
    <brk id="75" min="1" max="10" man="1"/>
  </rowBreaks>
  <colBreaks count="1" manualBreakCount="1">
    <brk id="14" max="1048575" man="1"/>
  </colBreaks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3D1A2-0C65-4B76-83EF-633621554F8F}">
  <sheetPr>
    <pageSetUpPr fitToPage="1"/>
  </sheetPr>
  <dimension ref="B1:Y64"/>
  <sheetViews>
    <sheetView view="pageBreakPreview" topLeftCell="A19" zoomScale="130" zoomScaleNormal="100" zoomScaleSheetLayoutView="130" workbookViewId="0">
      <selection activeCell="J15" sqref="J15:M15"/>
    </sheetView>
  </sheetViews>
  <sheetFormatPr defaultColWidth="10.42578125" defaultRowHeight="18.75"/>
  <cols>
    <col min="1" max="1" width="10.42578125" style="247"/>
    <col min="2" max="2" width="7" style="247" customWidth="1"/>
    <col min="3" max="4" width="5.140625" style="247" customWidth="1"/>
    <col min="5" max="5" width="5.5703125" style="247" customWidth="1"/>
    <col min="6" max="6" width="3.140625" style="247" customWidth="1"/>
    <col min="7" max="7" width="1.85546875" style="247" customWidth="1"/>
    <col min="8" max="8" width="6.85546875" style="247" customWidth="1"/>
    <col min="9" max="12" width="5.140625" style="247" customWidth="1"/>
    <col min="13" max="13" width="2.140625" style="247" customWidth="1"/>
    <col min="14" max="14" width="5.140625" style="247" customWidth="1"/>
    <col min="15" max="15" width="8" style="247" customWidth="1"/>
    <col min="16" max="18" width="5.140625" style="247" customWidth="1"/>
    <col min="19" max="19" width="1" style="247" customWidth="1"/>
    <col min="20" max="20" width="4.85546875" style="247" customWidth="1"/>
    <col min="21" max="21" width="5.5703125" style="247" customWidth="1"/>
    <col min="22" max="22" width="10.42578125" style="247"/>
    <col min="23" max="23" width="13.5703125" style="247" bestFit="1" customWidth="1"/>
    <col min="24" max="24" width="10.42578125" style="247"/>
    <col min="25" max="25" width="14.5703125" style="247" bestFit="1" customWidth="1"/>
    <col min="26" max="257" width="10.42578125" style="247"/>
    <col min="258" max="258" width="7" style="247" customWidth="1"/>
    <col min="259" max="261" width="5.140625" style="247" customWidth="1"/>
    <col min="262" max="262" width="3.140625" style="247" customWidth="1"/>
    <col min="263" max="263" width="1.85546875" style="247" customWidth="1"/>
    <col min="264" max="264" width="7.140625" style="247" customWidth="1"/>
    <col min="265" max="265" width="1.5703125" style="247" customWidth="1"/>
    <col min="266" max="268" width="5.140625" style="247" customWidth="1"/>
    <col min="269" max="269" width="3.85546875" style="247" customWidth="1"/>
    <col min="270" max="270" width="5.140625" style="247" customWidth="1"/>
    <col min="271" max="271" width="8" style="247" customWidth="1"/>
    <col min="272" max="274" width="5.140625" style="247" customWidth="1"/>
    <col min="275" max="275" width="1" style="247" customWidth="1"/>
    <col min="276" max="276" width="3" style="247" customWidth="1"/>
    <col min="277" max="277" width="9.140625" style="247" customWidth="1"/>
    <col min="278" max="513" width="10.42578125" style="247"/>
    <col min="514" max="514" width="7" style="247" customWidth="1"/>
    <col min="515" max="517" width="5.140625" style="247" customWidth="1"/>
    <col min="518" max="518" width="3.140625" style="247" customWidth="1"/>
    <col min="519" max="519" width="1.85546875" style="247" customWidth="1"/>
    <col min="520" max="520" width="7.140625" style="247" customWidth="1"/>
    <col min="521" max="521" width="1.5703125" style="247" customWidth="1"/>
    <col min="522" max="524" width="5.140625" style="247" customWidth="1"/>
    <col min="525" max="525" width="3.85546875" style="247" customWidth="1"/>
    <col min="526" max="526" width="5.140625" style="247" customWidth="1"/>
    <col min="527" max="527" width="8" style="247" customWidth="1"/>
    <col min="528" max="530" width="5.140625" style="247" customWidth="1"/>
    <col min="531" max="531" width="1" style="247" customWidth="1"/>
    <col min="532" max="532" width="3" style="247" customWidth="1"/>
    <col min="533" max="533" width="9.140625" style="247" customWidth="1"/>
    <col min="534" max="769" width="10.42578125" style="247"/>
    <col min="770" max="770" width="7" style="247" customWidth="1"/>
    <col min="771" max="773" width="5.140625" style="247" customWidth="1"/>
    <col min="774" max="774" width="3.140625" style="247" customWidth="1"/>
    <col min="775" max="775" width="1.85546875" style="247" customWidth="1"/>
    <col min="776" max="776" width="7.140625" style="247" customWidth="1"/>
    <col min="777" max="777" width="1.5703125" style="247" customWidth="1"/>
    <col min="778" max="780" width="5.140625" style="247" customWidth="1"/>
    <col min="781" max="781" width="3.85546875" style="247" customWidth="1"/>
    <col min="782" max="782" width="5.140625" style="247" customWidth="1"/>
    <col min="783" max="783" width="8" style="247" customWidth="1"/>
    <col min="784" max="786" width="5.140625" style="247" customWidth="1"/>
    <col min="787" max="787" width="1" style="247" customWidth="1"/>
    <col min="788" max="788" width="3" style="247" customWidth="1"/>
    <col min="789" max="789" width="9.140625" style="247" customWidth="1"/>
    <col min="790" max="1025" width="10.42578125" style="247"/>
    <col min="1026" max="1026" width="7" style="247" customWidth="1"/>
    <col min="1027" max="1029" width="5.140625" style="247" customWidth="1"/>
    <col min="1030" max="1030" width="3.140625" style="247" customWidth="1"/>
    <col min="1031" max="1031" width="1.85546875" style="247" customWidth="1"/>
    <col min="1032" max="1032" width="7.140625" style="247" customWidth="1"/>
    <col min="1033" max="1033" width="1.5703125" style="247" customWidth="1"/>
    <col min="1034" max="1036" width="5.140625" style="247" customWidth="1"/>
    <col min="1037" max="1037" width="3.85546875" style="247" customWidth="1"/>
    <col min="1038" max="1038" width="5.140625" style="247" customWidth="1"/>
    <col min="1039" max="1039" width="8" style="247" customWidth="1"/>
    <col min="1040" max="1042" width="5.140625" style="247" customWidth="1"/>
    <col min="1043" max="1043" width="1" style="247" customWidth="1"/>
    <col min="1044" max="1044" width="3" style="247" customWidth="1"/>
    <col min="1045" max="1045" width="9.140625" style="247" customWidth="1"/>
    <col min="1046" max="1281" width="10.42578125" style="247"/>
    <col min="1282" max="1282" width="7" style="247" customWidth="1"/>
    <col min="1283" max="1285" width="5.140625" style="247" customWidth="1"/>
    <col min="1286" max="1286" width="3.140625" style="247" customWidth="1"/>
    <col min="1287" max="1287" width="1.85546875" style="247" customWidth="1"/>
    <col min="1288" max="1288" width="7.140625" style="247" customWidth="1"/>
    <col min="1289" max="1289" width="1.5703125" style="247" customWidth="1"/>
    <col min="1290" max="1292" width="5.140625" style="247" customWidth="1"/>
    <col min="1293" max="1293" width="3.85546875" style="247" customWidth="1"/>
    <col min="1294" max="1294" width="5.140625" style="247" customWidth="1"/>
    <col min="1295" max="1295" width="8" style="247" customWidth="1"/>
    <col min="1296" max="1298" width="5.140625" style="247" customWidth="1"/>
    <col min="1299" max="1299" width="1" style="247" customWidth="1"/>
    <col min="1300" max="1300" width="3" style="247" customWidth="1"/>
    <col min="1301" max="1301" width="9.140625" style="247" customWidth="1"/>
    <col min="1302" max="1537" width="10.42578125" style="247"/>
    <col min="1538" max="1538" width="7" style="247" customWidth="1"/>
    <col min="1539" max="1541" width="5.140625" style="247" customWidth="1"/>
    <col min="1542" max="1542" width="3.140625" style="247" customWidth="1"/>
    <col min="1543" max="1543" width="1.85546875" style="247" customWidth="1"/>
    <col min="1544" max="1544" width="7.140625" style="247" customWidth="1"/>
    <col min="1545" max="1545" width="1.5703125" style="247" customWidth="1"/>
    <col min="1546" max="1548" width="5.140625" style="247" customWidth="1"/>
    <col min="1549" max="1549" width="3.85546875" style="247" customWidth="1"/>
    <col min="1550" max="1550" width="5.140625" style="247" customWidth="1"/>
    <col min="1551" max="1551" width="8" style="247" customWidth="1"/>
    <col min="1552" max="1554" width="5.140625" style="247" customWidth="1"/>
    <col min="1555" max="1555" width="1" style="247" customWidth="1"/>
    <col min="1556" max="1556" width="3" style="247" customWidth="1"/>
    <col min="1557" max="1557" width="9.140625" style="247" customWidth="1"/>
    <col min="1558" max="1793" width="10.42578125" style="247"/>
    <col min="1794" max="1794" width="7" style="247" customWidth="1"/>
    <col min="1795" max="1797" width="5.140625" style="247" customWidth="1"/>
    <col min="1798" max="1798" width="3.140625" style="247" customWidth="1"/>
    <col min="1799" max="1799" width="1.85546875" style="247" customWidth="1"/>
    <col min="1800" max="1800" width="7.140625" style="247" customWidth="1"/>
    <col min="1801" max="1801" width="1.5703125" style="247" customWidth="1"/>
    <col min="1802" max="1804" width="5.140625" style="247" customWidth="1"/>
    <col min="1805" max="1805" width="3.85546875" style="247" customWidth="1"/>
    <col min="1806" max="1806" width="5.140625" style="247" customWidth="1"/>
    <col min="1807" max="1807" width="8" style="247" customWidth="1"/>
    <col min="1808" max="1810" width="5.140625" style="247" customWidth="1"/>
    <col min="1811" max="1811" width="1" style="247" customWidth="1"/>
    <col min="1812" max="1812" width="3" style="247" customWidth="1"/>
    <col min="1813" max="1813" width="9.140625" style="247" customWidth="1"/>
    <col min="1814" max="2049" width="10.42578125" style="247"/>
    <col min="2050" max="2050" width="7" style="247" customWidth="1"/>
    <col min="2051" max="2053" width="5.140625" style="247" customWidth="1"/>
    <col min="2054" max="2054" width="3.140625" style="247" customWidth="1"/>
    <col min="2055" max="2055" width="1.85546875" style="247" customWidth="1"/>
    <col min="2056" max="2056" width="7.140625" style="247" customWidth="1"/>
    <col min="2057" max="2057" width="1.5703125" style="247" customWidth="1"/>
    <col min="2058" max="2060" width="5.140625" style="247" customWidth="1"/>
    <col min="2061" max="2061" width="3.85546875" style="247" customWidth="1"/>
    <col min="2062" max="2062" width="5.140625" style="247" customWidth="1"/>
    <col min="2063" max="2063" width="8" style="247" customWidth="1"/>
    <col min="2064" max="2066" width="5.140625" style="247" customWidth="1"/>
    <col min="2067" max="2067" width="1" style="247" customWidth="1"/>
    <col min="2068" max="2068" width="3" style="247" customWidth="1"/>
    <col min="2069" max="2069" width="9.140625" style="247" customWidth="1"/>
    <col min="2070" max="2305" width="10.42578125" style="247"/>
    <col min="2306" max="2306" width="7" style="247" customWidth="1"/>
    <col min="2307" max="2309" width="5.140625" style="247" customWidth="1"/>
    <col min="2310" max="2310" width="3.140625" style="247" customWidth="1"/>
    <col min="2311" max="2311" width="1.85546875" style="247" customWidth="1"/>
    <col min="2312" max="2312" width="7.140625" style="247" customWidth="1"/>
    <col min="2313" max="2313" width="1.5703125" style="247" customWidth="1"/>
    <col min="2314" max="2316" width="5.140625" style="247" customWidth="1"/>
    <col min="2317" max="2317" width="3.85546875" style="247" customWidth="1"/>
    <col min="2318" max="2318" width="5.140625" style="247" customWidth="1"/>
    <col min="2319" max="2319" width="8" style="247" customWidth="1"/>
    <col min="2320" max="2322" width="5.140625" style="247" customWidth="1"/>
    <col min="2323" max="2323" width="1" style="247" customWidth="1"/>
    <col min="2324" max="2324" width="3" style="247" customWidth="1"/>
    <col min="2325" max="2325" width="9.140625" style="247" customWidth="1"/>
    <col min="2326" max="2561" width="10.42578125" style="247"/>
    <col min="2562" max="2562" width="7" style="247" customWidth="1"/>
    <col min="2563" max="2565" width="5.140625" style="247" customWidth="1"/>
    <col min="2566" max="2566" width="3.140625" style="247" customWidth="1"/>
    <col min="2567" max="2567" width="1.85546875" style="247" customWidth="1"/>
    <col min="2568" max="2568" width="7.140625" style="247" customWidth="1"/>
    <col min="2569" max="2569" width="1.5703125" style="247" customWidth="1"/>
    <col min="2570" max="2572" width="5.140625" style="247" customWidth="1"/>
    <col min="2573" max="2573" width="3.85546875" style="247" customWidth="1"/>
    <col min="2574" max="2574" width="5.140625" style="247" customWidth="1"/>
    <col min="2575" max="2575" width="8" style="247" customWidth="1"/>
    <col min="2576" max="2578" width="5.140625" style="247" customWidth="1"/>
    <col min="2579" max="2579" width="1" style="247" customWidth="1"/>
    <col min="2580" max="2580" width="3" style="247" customWidth="1"/>
    <col min="2581" max="2581" width="9.140625" style="247" customWidth="1"/>
    <col min="2582" max="2817" width="10.42578125" style="247"/>
    <col min="2818" max="2818" width="7" style="247" customWidth="1"/>
    <col min="2819" max="2821" width="5.140625" style="247" customWidth="1"/>
    <col min="2822" max="2822" width="3.140625" style="247" customWidth="1"/>
    <col min="2823" max="2823" width="1.85546875" style="247" customWidth="1"/>
    <col min="2824" max="2824" width="7.140625" style="247" customWidth="1"/>
    <col min="2825" max="2825" width="1.5703125" style="247" customWidth="1"/>
    <col min="2826" max="2828" width="5.140625" style="247" customWidth="1"/>
    <col min="2829" max="2829" width="3.85546875" style="247" customWidth="1"/>
    <col min="2830" max="2830" width="5.140625" style="247" customWidth="1"/>
    <col min="2831" max="2831" width="8" style="247" customWidth="1"/>
    <col min="2832" max="2834" width="5.140625" style="247" customWidth="1"/>
    <col min="2835" max="2835" width="1" style="247" customWidth="1"/>
    <col min="2836" max="2836" width="3" style="247" customWidth="1"/>
    <col min="2837" max="2837" width="9.140625" style="247" customWidth="1"/>
    <col min="2838" max="3073" width="10.42578125" style="247"/>
    <col min="3074" max="3074" width="7" style="247" customWidth="1"/>
    <col min="3075" max="3077" width="5.140625" style="247" customWidth="1"/>
    <col min="3078" max="3078" width="3.140625" style="247" customWidth="1"/>
    <col min="3079" max="3079" width="1.85546875" style="247" customWidth="1"/>
    <col min="3080" max="3080" width="7.140625" style="247" customWidth="1"/>
    <col min="3081" max="3081" width="1.5703125" style="247" customWidth="1"/>
    <col min="3082" max="3084" width="5.140625" style="247" customWidth="1"/>
    <col min="3085" max="3085" width="3.85546875" style="247" customWidth="1"/>
    <col min="3086" max="3086" width="5.140625" style="247" customWidth="1"/>
    <col min="3087" max="3087" width="8" style="247" customWidth="1"/>
    <col min="3088" max="3090" width="5.140625" style="247" customWidth="1"/>
    <col min="3091" max="3091" width="1" style="247" customWidth="1"/>
    <col min="3092" max="3092" width="3" style="247" customWidth="1"/>
    <col min="3093" max="3093" width="9.140625" style="247" customWidth="1"/>
    <col min="3094" max="3329" width="10.42578125" style="247"/>
    <col min="3330" max="3330" width="7" style="247" customWidth="1"/>
    <col min="3331" max="3333" width="5.140625" style="247" customWidth="1"/>
    <col min="3334" max="3334" width="3.140625" style="247" customWidth="1"/>
    <col min="3335" max="3335" width="1.85546875" style="247" customWidth="1"/>
    <col min="3336" max="3336" width="7.140625" style="247" customWidth="1"/>
    <col min="3337" max="3337" width="1.5703125" style="247" customWidth="1"/>
    <col min="3338" max="3340" width="5.140625" style="247" customWidth="1"/>
    <col min="3341" max="3341" width="3.85546875" style="247" customWidth="1"/>
    <col min="3342" max="3342" width="5.140625" style="247" customWidth="1"/>
    <col min="3343" max="3343" width="8" style="247" customWidth="1"/>
    <col min="3344" max="3346" width="5.140625" style="247" customWidth="1"/>
    <col min="3347" max="3347" width="1" style="247" customWidth="1"/>
    <col min="3348" max="3348" width="3" style="247" customWidth="1"/>
    <col min="3349" max="3349" width="9.140625" style="247" customWidth="1"/>
    <col min="3350" max="3585" width="10.42578125" style="247"/>
    <col min="3586" max="3586" width="7" style="247" customWidth="1"/>
    <col min="3587" max="3589" width="5.140625" style="247" customWidth="1"/>
    <col min="3590" max="3590" width="3.140625" style="247" customWidth="1"/>
    <col min="3591" max="3591" width="1.85546875" style="247" customWidth="1"/>
    <col min="3592" max="3592" width="7.140625" style="247" customWidth="1"/>
    <col min="3593" max="3593" width="1.5703125" style="247" customWidth="1"/>
    <col min="3594" max="3596" width="5.140625" style="247" customWidth="1"/>
    <col min="3597" max="3597" width="3.85546875" style="247" customWidth="1"/>
    <col min="3598" max="3598" width="5.140625" style="247" customWidth="1"/>
    <col min="3599" max="3599" width="8" style="247" customWidth="1"/>
    <col min="3600" max="3602" width="5.140625" style="247" customWidth="1"/>
    <col min="3603" max="3603" width="1" style="247" customWidth="1"/>
    <col min="3604" max="3604" width="3" style="247" customWidth="1"/>
    <col min="3605" max="3605" width="9.140625" style="247" customWidth="1"/>
    <col min="3606" max="3841" width="10.42578125" style="247"/>
    <col min="3842" max="3842" width="7" style="247" customWidth="1"/>
    <col min="3843" max="3845" width="5.140625" style="247" customWidth="1"/>
    <col min="3846" max="3846" width="3.140625" style="247" customWidth="1"/>
    <col min="3847" max="3847" width="1.85546875" style="247" customWidth="1"/>
    <col min="3848" max="3848" width="7.140625" style="247" customWidth="1"/>
    <col min="3849" max="3849" width="1.5703125" style="247" customWidth="1"/>
    <col min="3850" max="3852" width="5.140625" style="247" customWidth="1"/>
    <col min="3853" max="3853" width="3.85546875" style="247" customWidth="1"/>
    <col min="3854" max="3854" width="5.140625" style="247" customWidth="1"/>
    <col min="3855" max="3855" width="8" style="247" customWidth="1"/>
    <col min="3856" max="3858" width="5.140625" style="247" customWidth="1"/>
    <col min="3859" max="3859" width="1" style="247" customWidth="1"/>
    <col min="3860" max="3860" width="3" style="247" customWidth="1"/>
    <col min="3861" max="3861" width="9.140625" style="247" customWidth="1"/>
    <col min="3862" max="4097" width="10.42578125" style="247"/>
    <col min="4098" max="4098" width="7" style="247" customWidth="1"/>
    <col min="4099" max="4101" width="5.140625" style="247" customWidth="1"/>
    <col min="4102" max="4102" width="3.140625" style="247" customWidth="1"/>
    <col min="4103" max="4103" width="1.85546875" style="247" customWidth="1"/>
    <col min="4104" max="4104" width="7.140625" style="247" customWidth="1"/>
    <col min="4105" max="4105" width="1.5703125" style="247" customWidth="1"/>
    <col min="4106" max="4108" width="5.140625" style="247" customWidth="1"/>
    <col min="4109" max="4109" width="3.85546875" style="247" customWidth="1"/>
    <col min="4110" max="4110" width="5.140625" style="247" customWidth="1"/>
    <col min="4111" max="4111" width="8" style="247" customWidth="1"/>
    <col min="4112" max="4114" width="5.140625" style="247" customWidth="1"/>
    <col min="4115" max="4115" width="1" style="247" customWidth="1"/>
    <col min="4116" max="4116" width="3" style="247" customWidth="1"/>
    <col min="4117" max="4117" width="9.140625" style="247" customWidth="1"/>
    <col min="4118" max="4353" width="10.42578125" style="247"/>
    <col min="4354" max="4354" width="7" style="247" customWidth="1"/>
    <col min="4355" max="4357" width="5.140625" style="247" customWidth="1"/>
    <col min="4358" max="4358" width="3.140625" style="247" customWidth="1"/>
    <col min="4359" max="4359" width="1.85546875" style="247" customWidth="1"/>
    <col min="4360" max="4360" width="7.140625" style="247" customWidth="1"/>
    <col min="4361" max="4361" width="1.5703125" style="247" customWidth="1"/>
    <col min="4362" max="4364" width="5.140625" style="247" customWidth="1"/>
    <col min="4365" max="4365" width="3.85546875" style="247" customWidth="1"/>
    <col min="4366" max="4366" width="5.140625" style="247" customWidth="1"/>
    <col min="4367" max="4367" width="8" style="247" customWidth="1"/>
    <col min="4368" max="4370" width="5.140625" style="247" customWidth="1"/>
    <col min="4371" max="4371" width="1" style="247" customWidth="1"/>
    <col min="4372" max="4372" width="3" style="247" customWidth="1"/>
    <col min="4373" max="4373" width="9.140625" style="247" customWidth="1"/>
    <col min="4374" max="4609" width="10.42578125" style="247"/>
    <col min="4610" max="4610" width="7" style="247" customWidth="1"/>
    <col min="4611" max="4613" width="5.140625" style="247" customWidth="1"/>
    <col min="4614" max="4614" width="3.140625" style="247" customWidth="1"/>
    <col min="4615" max="4615" width="1.85546875" style="247" customWidth="1"/>
    <col min="4616" max="4616" width="7.140625" style="247" customWidth="1"/>
    <col min="4617" max="4617" width="1.5703125" style="247" customWidth="1"/>
    <col min="4618" max="4620" width="5.140625" style="247" customWidth="1"/>
    <col min="4621" max="4621" width="3.85546875" style="247" customWidth="1"/>
    <col min="4622" max="4622" width="5.140625" style="247" customWidth="1"/>
    <col min="4623" max="4623" width="8" style="247" customWidth="1"/>
    <col min="4624" max="4626" width="5.140625" style="247" customWidth="1"/>
    <col min="4627" max="4627" width="1" style="247" customWidth="1"/>
    <col min="4628" max="4628" width="3" style="247" customWidth="1"/>
    <col min="4629" max="4629" width="9.140625" style="247" customWidth="1"/>
    <col min="4630" max="4865" width="10.42578125" style="247"/>
    <col min="4866" max="4866" width="7" style="247" customWidth="1"/>
    <col min="4867" max="4869" width="5.140625" style="247" customWidth="1"/>
    <col min="4870" max="4870" width="3.140625" style="247" customWidth="1"/>
    <col min="4871" max="4871" width="1.85546875" style="247" customWidth="1"/>
    <col min="4872" max="4872" width="7.140625" style="247" customWidth="1"/>
    <col min="4873" max="4873" width="1.5703125" style="247" customWidth="1"/>
    <col min="4874" max="4876" width="5.140625" style="247" customWidth="1"/>
    <col min="4877" max="4877" width="3.85546875" style="247" customWidth="1"/>
    <col min="4878" max="4878" width="5.140625" style="247" customWidth="1"/>
    <col min="4879" max="4879" width="8" style="247" customWidth="1"/>
    <col min="4880" max="4882" width="5.140625" style="247" customWidth="1"/>
    <col min="4883" max="4883" width="1" style="247" customWidth="1"/>
    <col min="4884" max="4884" width="3" style="247" customWidth="1"/>
    <col min="4885" max="4885" width="9.140625" style="247" customWidth="1"/>
    <col min="4886" max="5121" width="10.42578125" style="247"/>
    <col min="5122" max="5122" width="7" style="247" customWidth="1"/>
    <col min="5123" max="5125" width="5.140625" style="247" customWidth="1"/>
    <col min="5126" max="5126" width="3.140625" style="247" customWidth="1"/>
    <col min="5127" max="5127" width="1.85546875" style="247" customWidth="1"/>
    <col min="5128" max="5128" width="7.140625" style="247" customWidth="1"/>
    <col min="5129" max="5129" width="1.5703125" style="247" customWidth="1"/>
    <col min="5130" max="5132" width="5.140625" style="247" customWidth="1"/>
    <col min="5133" max="5133" width="3.85546875" style="247" customWidth="1"/>
    <col min="5134" max="5134" width="5.140625" style="247" customWidth="1"/>
    <col min="5135" max="5135" width="8" style="247" customWidth="1"/>
    <col min="5136" max="5138" width="5.140625" style="247" customWidth="1"/>
    <col min="5139" max="5139" width="1" style="247" customWidth="1"/>
    <col min="5140" max="5140" width="3" style="247" customWidth="1"/>
    <col min="5141" max="5141" width="9.140625" style="247" customWidth="1"/>
    <col min="5142" max="5377" width="10.42578125" style="247"/>
    <col min="5378" max="5378" width="7" style="247" customWidth="1"/>
    <col min="5379" max="5381" width="5.140625" style="247" customWidth="1"/>
    <col min="5382" max="5382" width="3.140625" style="247" customWidth="1"/>
    <col min="5383" max="5383" width="1.85546875" style="247" customWidth="1"/>
    <col min="5384" max="5384" width="7.140625" style="247" customWidth="1"/>
    <col min="5385" max="5385" width="1.5703125" style="247" customWidth="1"/>
    <col min="5386" max="5388" width="5.140625" style="247" customWidth="1"/>
    <col min="5389" max="5389" width="3.85546875" style="247" customWidth="1"/>
    <col min="5390" max="5390" width="5.140625" style="247" customWidth="1"/>
    <col min="5391" max="5391" width="8" style="247" customWidth="1"/>
    <col min="5392" max="5394" width="5.140625" style="247" customWidth="1"/>
    <col min="5395" max="5395" width="1" style="247" customWidth="1"/>
    <col min="5396" max="5396" width="3" style="247" customWidth="1"/>
    <col min="5397" max="5397" width="9.140625" style="247" customWidth="1"/>
    <col min="5398" max="5633" width="10.42578125" style="247"/>
    <col min="5634" max="5634" width="7" style="247" customWidth="1"/>
    <col min="5635" max="5637" width="5.140625" style="247" customWidth="1"/>
    <col min="5638" max="5638" width="3.140625" style="247" customWidth="1"/>
    <col min="5639" max="5639" width="1.85546875" style="247" customWidth="1"/>
    <col min="5640" max="5640" width="7.140625" style="247" customWidth="1"/>
    <col min="5641" max="5641" width="1.5703125" style="247" customWidth="1"/>
    <col min="5642" max="5644" width="5.140625" style="247" customWidth="1"/>
    <col min="5645" max="5645" width="3.85546875" style="247" customWidth="1"/>
    <col min="5646" max="5646" width="5.140625" style="247" customWidth="1"/>
    <col min="5647" max="5647" width="8" style="247" customWidth="1"/>
    <col min="5648" max="5650" width="5.140625" style="247" customWidth="1"/>
    <col min="5651" max="5651" width="1" style="247" customWidth="1"/>
    <col min="5652" max="5652" width="3" style="247" customWidth="1"/>
    <col min="5653" max="5653" width="9.140625" style="247" customWidth="1"/>
    <col min="5654" max="5889" width="10.42578125" style="247"/>
    <col min="5890" max="5890" width="7" style="247" customWidth="1"/>
    <col min="5891" max="5893" width="5.140625" style="247" customWidth="1"/>
    <col min="5894" max="5894" width="3.140625" style="247" customWidth="1"/>
    <col min="5895" max="5895" width="1.85546875" style="247" customWidth="1"/>
    <col min="5896" max="5896" width="7.140625" style="247" customWidth="1"/>
    <col min="5897" max="5897" width="1.5703125" style="247" customWidth="1"/>
    <col min="5898" max="5900" width="5.140625" style="247" customWidth="1"/>
    <col min="5901" max="5901" width="3.85546875" style="247" customWidth="1"/>
    <col min="5902" max="5902" width="5.140625" style="247" customWidth="1"/>
    <col min="5903" max="5903" width="8" style="247" customWidth="1"/>
    <col min="5904" max="5906" width="5.140625" style="247" customWidth="1"/>
    <col min="5907" max="5907" width="1" style="247" customWidth="1"/>
    <col min="5908" max="5908" width="3" style="247" customWidth="1"/>
    <col min="5909" max="5909" width="9.140625" style="247" customWidth="1"/>
    <col min="5910" max="6145" width="10.42578125" style="247"/>
    <col min="6146" max="6146" width="7" style="247" customWidth="1"/>
    <col min="6147" max="6149" width="5.140625" style="247" customWidth="1"/>
    <col min="6150" max="6150" width="3.140625" style="247" customWidth="1"/>
    <col min="6151" max="6151" width="1.85546875" style="247" customWidth="1"/>
    <col min="6152" max="6152" width="7.140625" style="247" customWidth="1"/>
    <col min="6153" max="6153" width="1.5703125" style="247" customWidth="1"/>
    <col min="6154" max="6156" width="5.140625" style="247" customWidth="1"/>
    <col min="6157" max="6157" width="3.85546875" style="247" customWidth="1"/>
    <col min="6158" max="6158" width="5.140625" style="247" customWidth="1"/>
    <col min="6159" max="6159" width="8" style="247" customWidth="1"/>
    <col min="6160" max="6162" width="5.140625" style="247" customWidth="1"/>
    <col min="6163" max="6163" width="1" style="247" customWidth="1"/>
    <col min="6164" max="6164" width="3" style="247" customWidth="1"/>
    <col min="6165" max="6165" width="9.140625" style="247" customWidth="1"/>
    <col min="6166" max="6401" width="10.42578125" style="247"/>
    <col min="6402" max="6402" width="7" style="247" customWidth="1"/>
    <col min="6403" max="6405" width="5.140625" style="247" customWidth="1"/>
    <col min="6406" max="6406" width="3.140625" style="247" customWidth="1"/>
    <col min="6407" max="6407" width="1.85546875" style="247" customWidth="1"/>
    <col min="6408" max="6408" width="7.140625" style="247" customWidth="1"/>
    <col min="6409" max="6409" width="1.5703125" style="247" customWidth="1"/>
    <col min="6410" max="6412" width="5.140625" style="247" customWidth="1"/>
    <col min="6413" max="6413" width="3.85546875" style="247" customWidth="1"/>
    <col min="6414" max="6414" width="5.140625" style="247" customWidth="1"/>
    <col min="6415" max="6415" width="8" style="247" customWidth="1"/>
    <col min="6416" max="6418" width="5.140625" style="247" customWidth="1"/>
    <col min="6419" max="6419" width="1" style="247" customWidth="1"/>
    <col min="6420" max="6420" width="3" style="247" customWidth="1"/>
    <col min="6421" max="6421" width="9.140625" style="247" customWidth="1"/>
    <col min="6422" max="6657" width="10.42578125" style="247"/>
    <col min="6658" max="6658" width="7" style="247" customWidth="1"/>
    <col min="6659" max="6661" width="5.140625" style="247" customWidth="1"/>
    <col min="6662" max="6662" width="3.140625" style="247" customWidth="1"/>
    <col min="6663" max="6663" width="1.85546875" style="247" customWidth="1"/>
    <col min="6664" max="6664" width="7.140625" style="247" customWidth="1"/>
    <col min="6665" max="6665" width="1.5703125" style="247" customWidth="1"/>
    <col min="6666" max="6668" width="5.140625" style="247" customWidth="1"/>
    <col min="6669" max="6669" width="3.85546875" style="247" customWidth="1"/>
    <col min="6670" max="6670" width="5.140625" style="247" customWidth="1"/>
    <col min="6671" max="6671" width="8" style="247" customWidth="1"/>
    <col min="6672" max="6674" width="5.140625" style="247" customWidth="1"/>
    <col min="6675" max="6675" width="1" style="247" customWidth="1"/>
    <col min="6676" max="6676" width="3" style="247" customWidth="1"/>
    <col min="6677" max="6677" width="9.140625" style="247" customWidth="1"/>
    <col min="6678" max="6913" width="10.42578125" style="247"/>
    <col min="6914" max="6914" width="7" style="247" customWidth="1"/>
    <col min="6915" max="6917" width="5.140625" style="247" customWidth="1"/>
    <col min="6918" max="6918" width="3.140625" style="247" customWidth="1"/>
    <col min="6919" max="6919" width="1.85546875" style="247" customWidth="1"/>
    <col min="6920" max="6920" width="7.140625" style="247" customWidth="1"/>
    <col min="6921" max="6921" width="1.5703125" style="247" customWidth="1"/>
    <col min="6922" max="6924" width="5.140625" style="247" customWidth="1"/>
    <col min="6925" max="6925" width="3.85546875" style="247" customWidth="1"/>
    <col min="6926" max="6926" width="5.140625" style="247" customWidth="1"/>
    <col min="6927" max="6927" width="8" style="247" customWidth="1"/>
    <col min="6928" max="6930" width="5.140625" style="247" customWidth="1"/>
    <col min="6931" max="6931" width="1" style="247" customWidth="1"/>
    <col min="6932" max="6932" width="3" style="247" customWidth="1"/>
    <col min="6933" max="6933" width="9.140625" style="247" customWidth="1"/>
    <col min="6934" max="7169" width="10.42578125" style="247"/>
    <col min="7170" max="7170" width="7" style="247" customWidth="1"/>
    <col min="7171" max="7173" width="5.140625" style="247" customWidth="1"/>
    <col min="7174" max="7174" width="3.140625" style="247" customWidth="1"/>
    <col min="7175" max="7175" width="1.85546875" style="247" customWidth="1"/>
    <col min="7176" max="7176" width="7.140625" style="247" customWidth="1"/>
    <col min="7177" max="7177" width="1.5703125" style="247" customWidth="1"/>
    <col min="7178" max="7180" width="5.140625" style="247" customWidth="1"/>
    <col min="7181" max="7181" width="3.85546875" style="247" customWidth="1"/>
    <col min="7182" max="7182" width="5.140625" style="247" customWidth="1"/>
    <col min="7183" max="7183" width="8" style="247" customWidth="1"/>
    <col min="7184" max="7186" width="5.140625" style="247" customWidth="1"/>
    <col min="7187" max="7187" width="1" style="247" customWidth="1"/>
    <col min="7188" max="7188" width="3" style="247" customWidth="1"/>
    <col min="7189" max="7189" width="9.140625" style="247" customWidth="1"/>
    <col min="7190" max="7425" width="10.42578125" style="247"/>
    <col min="7426" max="7426" width="7" style="247" customWidth="1"/>
    <col min="7427" max="7429" width="5.140625" style="247" customWidth="1"/>
    <col min="7430" max="7430" width="3.140625" style="247" customWidth="1"/>
    <col min="7431" max="7431" width="1.85546875" style="247" customWidth="1"/>
    <col min="7432" max="7432" width="7.140625" style="247" customWidth="1"/>
    <col min="7433" max="7433" width="1.5703125" style="247" customWidth="1"/>
    <col min="7434" max="7436" width="5.140625" style="247" customWidth="1"/>
    <col min="7437" max="7437" width="3.85546875" style="247" customWidth="1"/>
    <col min="7438" max="7438" width="5.140625" style="247" customWidth="1"/>
    <col min="7439" max="7439" width="8" style="247" customWidth="1"/>
    <col min="7440" max="7442" width="5.140625" style="247" customWidth="1"/>
    <col min="7443" max="7443" width="1" style="247" customWidth="1"/>
    <col min="7444" max="7444" width="3" style="247" customWidth="1"/>
    <col min="7445" max="7445" width="9.140625" style="247" customWidth="1"/>
    <col min="7446" max="7681" width="10.42578125" style="247"/>
    <col min="7682" max="7682" width="7" style="247" customWidth="1"/>
    <col min="7683" max="7685" width="5.140625" style="247" customWidth="1"/>
    <col min="7686" max="7686" width="3.140625" style="247" customWidth="1"/>
    <col min="7687" max="7687" width="1.85546875" style="247" customWidth="1"/>
    <col min="7688" max="7688" width="7.140625" style="247" customWidth="1"/>
    <col min="7689" max="7689" width="1.5703125" style="247" customWidth="1"/>
    <col min="7690" max="7692" width="5.140625" style="247" customWidth="1"/>
    <col min="7693" max="7693" width="3.85546875" style="247" customWidth="1"/>
    <col min="7694" max="7694" width="5.140625" style="247" customWidth="1"/>
    <col min="7695" max="7695" width="8" style="247" customWidth="1"/>
    <col min="7696" max="7698" width="5.140625" style="247" customWidth="1"/>
    <col min="7699" max="7699" width="1" style="247" customWidth="1"/>
    <col min="7700" max="7700" width="3" style="247" customWidth="1"/>
    <col min="7701" max="7701" width="9.140625" style="247" customWidth="1"/>
    <col min="7702" max="7937" width="10.42578125" style="247"/>
    <col min="7938" max="7938" width="7" style="247" customWidth="1"/>
    <col min="7939" max="7941" width="5.140625" style="247" customWidth="1"/>
    <col min="7942" max="7942" width="3.140625" style="247" customWidth="1"/>
    <col min="7943" max="7943" width="1.85546875" style="247" customWidth="1"/>
    <col min="7944" max="7944" width="7.140625" style="247" customWidth="1"/>
    <col min="7945" max="7945" width="1.5703125" style="247" customWidth="1"/>
    <col min="7946" max="7948" width="5.140625" style="247" customWidth="1"/>
    <col min="7949" max="7949" width="3.85546875" style="247" customWidth="1"/>
    <col min="7950" max="7950" width="5.140625" style="247" customWidth="1"/>
    <col min="7951" max="7951" width="8" style="247" customWidth="1"/>
    <col min="7952" max="7954" width="5.140625" style="247" customWidth="1"/>
    <col min="7955" max="7955" width="1" style="247" customWidth="1"/>
    <col min="7956" max="7956" width="3" style="247" customWidth="1"/>
    <col min="7957" max="7957" width="9.140625" style="247" customWidth="1"/>
    <col min="7958" max="8193" width="10.42578125" style="247"/>
    <col min="8194" max="8194" width="7" style="247" customWidth="1"/>
    <col min="8195" max="8197" width="5.140625" style="247" customWidth="1"/>
    <col min="8198" max="8198" width="3.140625" style="247" customWidth="1"/>
    <col min="8199" max="8199" width="1.85546875" style="247" customWidth="1"/>
    <col min="8200" max="8200" width="7.140625" style="247" customWidth="1"/>
    <col min="8201" max="8201" width="1.5703125" style="247" customWidth="1"/>
    <col min="8202" max="8204" width="5.140625" style="247" customWidth="1"/>
    <col min="8205" max="8205" width="3.85546875" style="247" customWidth="1"/>
    <col min="8206" max="8206" width="5.140625" style="247" customWidth="1"/>
    <col min="8207" max="8207" width="8" style="247" customWidth="1"/>
    <col min="8208" max="8210" width="5.140625" style="247" customWidth="1"/>
    <col min="8211" max="8211" width="1" style="247" customWidth="1"/>
    <col min="8212" max="8212" width="3" style="247" customWidth="1"/>
    <col min="8213" max="8213" width="9.140625" style="247" customWidth="1"/>
    <col min="8214" max="8449" width="10.42578125" style="247"/>
    <col min="8450" max="8450" width="7" style="247" customWidth="1"/>
    <col min="8451" max="8453" width="5.140625" style="247" customWidth="1"/>
    <col min="8454" max="8454" width="3.140625" style="247" customWidth="1"/>
    <col min="8455" max="8455" width="1.85546875" style="247" customWidth="1"/>
    <col min="8456" max="8456" width="7.140625" style="247" customWidth="1"/>
    <col min="8457" max="8457" width="1.5703125" style="247" customWidth="1"/>
    <col min="8458" max="8460" width="5.140625" style="247" customWidth="1"/>
    <col min="8461" max="8461" width="3.85546875" style="247" customWidth="1"/>
    <col min="8462" max="8462" width="5.140625" style="247" customWidth="1"/>
    <col min="8463" max="8463" width="8" style="247" customWidth="1"/>
    <col min="8464" max="8466" width="5.140625" style="247" customWidth="1"/>
    <col min="8467" max="8467" width="1" style="247" customWidth="1"/>
    <col min="8468" max="8468" width="3" style="247" customWidth="1"/>
    <col min="8469" max="8469" width="9.140625" style="247" customWidth="1"/>
    <col min="8470" max="8705" width="10.42578125" style="247"/>
    <col min="8706" max="8706" width="7" style="247" customWidth="1"/>
    <col min="8707" max="8709" width="5.140625" style="247" customWidth="1"/>
    <col min="8710" max="8710" width="3.140625" style="247" customWidth="1"/>
    <col min="8711" max="8711" width="1.85546875" style="247" customWidth="1"/>
    <col min="8712" max="8712" width="7.140625" style="247" customWidth="1"/>
    <col min="8713" max="8713" width="1.5703125" style="247" customWidth="1"/>
    <col min="8714" max="8716" width="5.140625" style="247" customWidth="1"/>
    <col min="8717" max="8717" width="3.85546875" style="247" customWidth="1"/>
    <col min="8718" max="8718" width="5.140625" style="247" customWidth="1"/>
    <col min="8719" max="8719" width="8" style="247" customWidth="1"/>
    <col min="8720" max="8722" width="5.140625" style="247" customWidth="1"/>
    <col min="8723" max="8723" width="1" style="247" customWidth="1"/>
    <col min="8724" max="8724" width="3" style="247" customWidth="1"/>
    <col min="8725" max="8725" width="9.140625" style="247" customWidth="1"/>
    <col min="8726" max="8961" width="10.42578125" style="247"/>
    <col min="8962" max="8962" width="7" style="247" customWidth="1"/>
    <col min="8963" max="8965" width="5.140625" style="247" customWidth="1"/>
    <col min="8966" max="8966" width="3.140625" style="247" customWidth="1"/>
    <col min="8967" max="8967" width="1.85546875" style="247" customWidth="1"/>
    <col min="8968" max="8968" width="7.140625" style="247" customWidth="1"/>
    <col min="8969" max="8969" width="1.5703125" style="247" customWidth="1"/>
    <col min="8970" max="8972" width="5.140625" style="247" customWidth="1"/>
    <col min="8973" max="8973" width="3.85546875" style="247" customWidth="1"/>
    <col min="8974" max="8974" width="5.140625" style="247" customWidth="1"/>
    <col min="8975" max="8975" width="8" style="247" customWidth="1"/>
    <col min="8976" max="8978" width="5.140625" style="247" customWidth="1"/>
    <col min="8979" max="8979" width="1" style="247" customWidth="1"/>
    <col min="8980" max="8980" width="3" style="247" customWidth="1"/>
    <col min="8981" max="8981" width="9.140625" style="247" customWidth="1"/>
    <col min="8982" max="9217" width="10.42578125" style="247"/>
    <col min="9218" max="9218" width="7" style="247" customWidth="1"/>
    <col min="9219" max="9221" width="5.140625" style="247" customWidth="1"/>
    <col min="9222" max="9222" width="3.140625" style="247" customWidth="1"/>
    <col min="9223" max="9223" width="1.85546875" style="247" customWidth="1"/>
    <col min="9224" max="9224" width="7.140625" style="247" customWidth="1"/>
    <col min="9225" max="9225" width="1.5703125" style="247" customWidth="1"/>
    <col min="9226" max="9228" width="5.140625" style="247" customWidth="1"/>
    <col min="9229" max="9229" width="3.85546875" style="247" customWidth="1"/>
    <col min="9230" max="9230" width="5.140625" style="247" customWidth="1"/>
    <col min="9231" max="9231" width="8" style="247" customWidth="1"/>
    <col min="9232" max="9234" width="5.140625" style="247" customWidth="1"/>
    <col min="9235" max="9235" width="1" style="247" customWidth="1"/>
    <col min="9236" max="9236" width="3" style="247" customWidth="1"/>
    <col min="9237" max="9237" width="9.140625" style="247" customWidth="1"/>
    <col min="9238" max="9473" width="10.42578125" style="247"/>
    <col min="9474" max="9474" width="7" style="247" customWidth="1"/>
    <col min="9475" max="9477" width="5.140625" style="247" customWidth="1"/>
    <col min="9478" max="9478" width="3.140625" style="247" customWidth="1"/>
    <col min="9479" max="9479" width="1.85546875" style="247" customWidth="1"/>
    <col min="9480" max="9480" width="7.140625" style="247" customWidth="1"/>
    <col min="9481" max="9481" width="1.5703125" style="247" customWidth="1"/>
    <col min="9482" max="9484" width="5.140625" style="247" customWidth="1"/>
    <col min="9485" max="9485" width="3.85546875" style="247" customWidth="1"/>
    <col min="9486" max="9486" width="5.140625" style="247" customWidth="1"/>
    <col min="9487" max="9487" width="8" style="247" customWidth="1"/>
    <col min="9488" max="9490" width="5.140625" style="247" customWidth="1"/>
    <col min="9491" max="9491" width="1" style="247" customWidth="1"/>
    <col min="9492" max="9492" width="3" style="247" customWidth="1"/>
    <col min="9493" max="9493" width="9.140625" style="247" customWidth="1"/>
    <col min="9494" max="9729" width="10.42578125" style="247"/>
    <col min="9730" max="9730" width="7" style="247" customWidth="1"/>
    <col min="9731" max="9733" width="5.140625" style="247" customWidth="1"/>
    <col min="9734" max="9734" width="3.140625" style="247" customWidth="1"/>
    <col min="9735" max="9735" width="1.85546875" style="247" customWidth="1"/>
    <col min="9736" max="9736" width="7.140625" style="247" customWidth="1"/>
    <col min="9737" max="9737" width="1.5703125" style="247" customWidth="1"/>
    <col min="9738" max="9740" width="5.140625" style="247" customWidth="1"/>
    <col min="9741" max="9741" width="3.85546875" style="247" customWidth="1"/>
    <col min="9742" max="9742" width="5.140625" style="247" customWidth="1"/>
    <col min="9743" max="9743" width="8" style="247" customWidth="1"/>
    <col min="9744" max="9746" width="5.140625" style="247" customWidth="1"/>
    <col min="9747" max="9747" width="1" style="247" customWidth="1"/>
    <col min="9748" max="9748" width="3" style="247" customWidth="1"/>
    <col min="9749" max="9749" width="9.140625" style="247" customWidth="1"/>
    <col min="9750" max="9985" width="10.42578125" style="247"/>
    <col min="9986" max="9986" width="7" style="247" customWidth="1"/>
    <col min="9987" max="9989" width="5.140625" style="247" customWidth="1"/>
    <col min="9990" max="9990" width="3.140625" style="247" customWidth="1"/>
    <col min="9991" max="9991" width="1.85546875" style="247" customWidth="1"/>
    <col min="9992" max="9992" width="7.140625" style="247" customWidth="1"/>
    <col min="9993" max="9993" width="1.5703125" style="247" customWidth="1"/>
    <col min="9994" max="9996" width="5.140625" style="247" customWidth="1"/>
    <col min="9997" max="9997" width="3.85546875" style="247" customWidth="1"/>
    <col min="9998" max="9998" width="5.140625" style="247" customWidth="1"/>
    <col min="9999" max="9999" width="8" style="247" customWidth="1"/>
    <col min="10000" max="10002" width="5.140625" style="247" customWidth="1"/>
    <col min="10003" max="10003" width="1" style="247" customWidth="1"/>
    <col min="10004" max="10004" width="3" style="247" customWidth="1"/>
    <col min="10005" max="10005" width="9.140625" style="247" customWidth="1"/>
    <col min="10006" max="10241" width="10.42578125" style="247"/>
    <col min="10242" max="10242" width="7" style="247" customWidth="1"/>
    <col min="10243" max="10245" width="5.140625" style="247" customWidth="1"/>
    <col min="10246" max="10246" width="3.140625" style="247" customWidth="1"/>
    <col min="10247" max="10247" width="1.85546875" style="247" customWidth="1"/>
    <col min="10248" max="10248" width="7.140625" style="247" customWidth="1"/>
    <col min="10249" max="10249" width="1.5703125" style="247" customWidth="1"/>
    <col min="10250" max="10252" width="5.140625" style="247" customWidth="1"/>
    <col min="10253" max="10253" width="3.85546875" style="247" customWidth="1"/>
    <col min="10254" max="10254" width="5.140625" style="247" customWidth="1"/>
    <col min="10255" max="10255" width="8" style="247" customWidth="1"/>
    <col min="10256" max="10258" width="5.140625" style="247" customWidth="1"/>
    <col min="10259" max="10259" width="1" style="247" customWidth="1"/>
    <col min="10260" max="10260" width="3" style="247" customWidth="1"/>
    <col min="10261" max="10261" width="9.140625" style="247" customWidth="1"/>
    <col min="10262" max="10497" width="10.42578125" style="247"/>
    <col min="10498" max="10498" width="7" style="247" customWidth="1"/>
    <col min="10499" max="10501" width="5.140625" style="247" customWidth="1"/>
    <col min="10502" max="10502" width="3.140625" style="247" customWidth="1"/>
    <col min="10503" max="10503" width="1.85546875" style="247" customWidth="1"/>
    <col min="10504" max="10504" width="7.140625" style="247" customWidth="1"/>
    <col min="10505" max="10505" width="1.5703125" style="247" customWidth="1"/>
    <col min="10506" max="10508" width="5.140625" style="247" customWidth="1"/>
    <col min="10509" max="10509" width="3.85546875" style="247" customWidth="1"/>
    <col min="10510" max="10510" width="5.140625" style="247" customWidth="1"/>
    <col min="10511" max="10511" width="8" style="247" customWidth="1"/>
    <col min="10512" max="10514" width="5.140625" style="247" customWidth="1"/>
    <col min="10515" max="10515" width="1" style="247" customWidth="1"/>
    <col min="10516" max="10516" width="3" style="247" customWidth="1"/>
    <col min="10517" max="10517" width="9.140625" style="247" customWidth="1"/>
    <col min="10518" max="10753" width="10.42578125" style="247"/>
    <col min="10754" max="10754" width="7" style="247" customWidth="1"/>
    <col min="10755" max="10757" width="5.140625" style="247" customWidth="1"/>
    <col min="10758" max="10758" width="3.140625" style="247" customWidth="1"/>
    <col min="10759" max="10759" width="1.85546875" style="247" customWidth="1"/>
    <col min="10760" max="10760" width="7.140625" style="247" customWidth="1"/>
    <col min="10761" max="10761" width="1.5703125" style="247" customWidth="1"/>
    <col min="10762" max="10764" width="5.140625" style="247" customWidth="1"/>
    <col min="10765" max="10765" width="3.85546875" style="247" customWidth="1"/>
    <col min="10766" max="10766" width="5.140625" style="247" customWidth="1"/>
    <col min="10767" max="10767" width="8" style="247" customWidth="1"/>
    <col min="10768" max="10770" width="5.140625" style="247" customWidth="1"/>
    <col min="10771" max="10771" width="1" style="247" customWidth="1"/>
    <col min="10772" max="10772" width="3" style="247" customWidth="1"/>
    <col min="10773" max="10773" width="9.140625" style="247" customWidth="1"/>
    <col min="10774" max="11009" width="10.42578125" style="247"/>
    <col min="11010" max="11010" width="7" style="247" customWidth="1"/>
    <col min="11011" max="11013" width="5.140625" style="247" customWidth="1"/>
    <col min="11014" max="11014" width="3.140625" style="247" customWidth="1"/>
    <col min="11015" max="11015" width="1.85546875" style="247" customWidth="1"/>
    <col min="11016" max="11016" width="7.140625" style="247" customWidth="1"/>
    <col min="11017" max="11017" width="1.5703125" style="247" customWidth="1"/>
    <col min="11018" max="11020" width="5.140625" style="247" customWidth="1"/>
    <col min="11021" max="11021" width="3.85546875" style="247" customWidth="1"/>
    <col min="11022" max="11022" width="5.140625" style="247" customWidth="1"/>
    <col min="11023" max="11023" width="8" style="247" customWidth="1"/>
    <col min="11024" max="11026" width="5.140625" style="247" customWidth="1"/>
    <col min="11027" max="11027" width="1" style="247" customWidth="1"/>
    <col min="11028" max="11028" width="3" style="247" customWidth="1"/>
    <col min="11029" max="11029" width="9.140625" style="247" customWidth="1"/>
    <col min="11030" max="11265" width="10.42578125" style="247"/>
    <col min="11266" max="11266" width="7" style="247" customWidth="1"/>
    <col min="11267" max="11269" width="5.140625" style="247" customWidth="1"/>
    <col min="11270" max="11270" width="3.140625" style="247" customWidth="1"/>
    <col min="11271" max="11271" width="1.85546875" style="247" customWidth="1"/>
    <col min="11272" max="11272" width="7.140625" style="247" customWidth="1"/>
    <col min="11273" max="11273" width="1.5703125" style="247" customWidth="1"/>
    <col min="11274" max="11276" width="5.140625" style="247" customWidth="1"/>
    <col min="11277" max="11277" width="3.85546875" style="247" customWidth="1"/>
    <col min="11278" max="11278" width="5.140625" style="247" customWidth="1"/>
    <col min="11279" max="11279" width="8" style="247" customWidth="1"/>
    <col min="11280" max="11282" width="5.140625" style="247" customWidth="1"/>
    <col min="11283" max="11283" width="1" style="247" customWidth="1"/>
    <col min="11284" max="11284" width="3" style="247" customWidth="1"/>
    <col min="11285" max="11285" width="9.140625" style="247" customWidth="1"/>
    <col min="11286" max="11521" width="10.42578125" style="247"/>
    <col min="11522" max="11522" width="7" style="247" customWidth="1"/>
    <col min="11523" max="11525" width="5.140625" style="247" customWidth="1"/>
    <col min="11526" max="11526" width="3.140625" style="247" customWidth="1"/>
    <col min="11527" max="11527" width="1.85546875" style="247" customWidth="1"/>
    <col min="11528" max="11528" width="7.140625" style="247" customWidth="1"/>
    <col min="11529" max="11529" width="1.5703125" style="247" customWidth="1"/>
    <col min="11530" max="11532" width="5.140625" style="247" customWidth="1"/>
    <col min="11533" max="11533" width="3.85546875" style="247" customWidth="1"/>
    <col min="11534" max="11534" width="5.140625" style="247" customWidth="1"/>
    <col min="11535" max="11535" width="8" style="247" customWidth="1"/>
    <col min="11536" max="11538" width="5.140625" style="247" customWidth="1"/>
    <col min="11539" max="11539" width="1" style="247" customWidth="1"/>
    <col min="11540" max="11540" width="3" style="247" customWidth="1"/>
    <col min="11541" max="11541" width="9.140625" style="247" customWidth="1"/>
    <col min="11542" max="11777" width="10.42578125" style="247"/>
    <col min="11778" max="11778" width="7" style="247" customWidth="1"/>
    <col min="11779" max="11781" width="5.140625" style="247" customWidth="1"/>
    <col min="11782" max="11782" width="3.140625" style="247" customWidth="1"/>
    <col min="11783" max="11783" width="1.85546875" style="247" customWidth="1"/>
    <col min="11784" max="11784" width="7.140625" style="247" customWidth="1"/>
    <col min="11785" max="11785" width="1.5703125" style="247" customWidth="1"/>
    <col min="11786" max="11788" width="5.140625" style="247" customWidth="1"/>
    <col min="11789" max="11789" width="3.85546875" style="247" customWidth="1"/>
    <col min="11790" max="11790" width="5.140625" style="247" customWidth="1"/>
    <col min="11791" max="11791" width="8" style="247" customWidth="1"/>
    <col min="11792" max="11794" width="5.140625" style="247" customWidth="1"/>
    <col min="11795" max="11795" width="1" style="247" customWidth="1"/>
    <col min="11796" max="11796" width="3" style="247" customWidth="1"/>
    <col min="11797" max="11797" width="9.140625" style="247" customWidth="1"/>
    <col min="11798" max="12033" width="10.42578125" style="247"/>
    <col min="12034" max="12034" width="7" style="247" customWidth="1"/>
    <col min="12035" max="12037" width="5.140625" style="247" customWidth="1"/>
    <col min="12038" max="12038" width="3.140625" style="247" customWidth="1"/>
    <col min="12039" max="12039" width="1.85546875" style="247" customWidth="1"/>
    <col min="12040" max="12040" width="7.140625" style="247" customWidth="1"/>
    <col min="12041" max="12041" width="1.5703125" style="247" customWidth="1"/>
    <col min="12042" max="12044" width="5.140625" style="247" customWidth="1"/>
    <col min="12045" max="12045" width="3.85546875" style="247" customWidth="1"/>
    <col min="12046" max="12046" width="5.140625" style="247" customWidth="1"/>
    <col min="12047" max="12047" width="8" style="247" customWidth="1"/>
    <col min="12048" max="12050" width="5.140625" style="247" customWidth="1"/>
    <col min="12051" max="12051" width="1" style="247" customWidth="1"/>
    <col min="12052" max="12052" width="3" style="247" customWidth="1"/>
    <col min="12053" max="12053" width="9.140625" style="247" customWidth="1"/>
    <col min="12054" max="12289" width="10.42578125" style="247"/>
    <col min="12290" max="12290" width="7" style="247" customWidth="1"/>
    <col min="12291" max="12293" width="5.140625" style="247" customWidth="1"/>
    <col min="12294" max="12294" width="3.140625" style="247" customWidth="1"/>
    <col min="12295" max="12295" width="1.85546875" style="247" customWidth="1"/>
    <col min="12296" max="12296" width="7.140625" style="247" customWidth="1"/>
    <col min="12297" max="12297" width="1.5703125" style="247" customWidth="1"/>
    <col min="12298" max="12300" width="5.140625" style="247" customWidth="1"/>
    <col min="12301" max="12301" width="3.85546875" style="247" customWidth="1"/>
    <col min="12302" max="12302" width="5.140625" style="247" customWidth="1"/>
    <col min="12303" max="12303" width="8" style="247" customWidth="1"/>
    <col min="12304" max="12306" width="5.140625" style="247" customWidth="1"/>
    <col min="12307" max="12307" width="1" style="247" customWidth="1"/>
    <col min="12308" max="12308" width="3" style="247" customWidth="1"/>
    <col min="12309" max="12309" width="9.140625" style="247" customWidth="1"/>
    <col min="12310" max="12545" width="10.42578125" style="247"/>
    <col min="12546" max="12546" width="7" style="247" customWidth="1"/>
    <col min="12547" max="12549" width="5.140625" style="247" customWidth="1"/>
    <col min="12550" max="12550" width="3.140625" style="247" customWidth="1"/>
    <col min="12551" max="12551" width="1.85546875" style="247" customWidth="1"/>
    <col min="12552" max="12552" width="7.140625" style="247" customWidth="1"/>
    <col min="12553" max="12553" width="1.5703125" style="247" customWidth="1"/>
    <col min="12554" max="12556" width="5.140625" style="247" customWidth="1"/>
    <col min="12557" max="12557" width="3.85546875" style="247" customWidth="1"/>
    <col min="12558" max="12558" width="5.140625" style="247" customWidth="1"/>
    <col min="12559" max="12559" width="8" style="247" customWidth="1"/>
    <col min="12560" max="12562" width="5.140625" style="247" customWidth="1"/>
    <col min="12563" max="12563" width="1" style="247" customWidth="1"/>
    <col min="12564" max="12564" width="3" style="247" customWidth="1"/>
    <col min="12565" max="12565" width="9.140625" style="247" customWidth="1"/>
    <col min="12566" max="12801" width="10.42578125" style="247"/>
    <col min="12802" max="12802" width="7" style="247" customWidth="1"/>
    <col min="12803" max="12805" width="5.140625" style="247" customWidth="1"/>
    <col min="12806" max="12806" width="3.140625" style="247" customWidth="1"/>
    <col min="12807" max="12807" width="1.85546875" style="247" customWidth="1"/>
    <col min="12808" max="12808" width="7.140625" style="247" customWidth="1"/>
    <col min="12809" max="12809" width="1.5703125" style="247" customWidth="1"/>
    <col min="12810" max="12812" width="5.140625" style="247" customWidth="1"/>
    <col min="12813" max="12813" width="3.85546875" style="247" customWidth="1"/>
    <col min="12814" max="12814" width="5.140625" style="247" customWidth="1"/>
    <col min="12815" max="12815" width="8" style="247" customWidth="1"/>
    <col min="12816" max="12818" width="5.140625" style="247" customWidth="1"/>
    <col min="12819" max="12819" width="1" style="247" customWidth="1"/>
    <col min="12820" max="12820" width="3" style="247" customWidth="1"/>
    <col min="12821" max="12821" width="9.140625" style="247" customWidth="1"/>
    <col min="12822" max="13057" width="10.42578125" style="247"/>
    <col min="13058" max="13058" width="7" style="247" customWidth="1"/>
    <col min="13059" max="13061" width="5.140625" style="247" customWidth="1"/>
    <col min="13062" max="13062" width="3.140625" style="247" customWidth="1"/>
    <col min="13063" max="13063" width="1.85546875" style="247" customWidth="1"/>
    <col min="13064" max="13064" width="7.140625" style="247" customWidth="1"/>
    <col min="13065" max="13065" width="1.5703125" style="247" customWidth="1"/>
    <col min="13066" max="13068" width="5.140625" style="247" customWidth="1"/>
    <col min="13069" max="13069" width="3.85546875" style="247" customWidth="1"/>
    <col min="13070" max="13070" width="5.140625" style="247" customWidth="1"/>
    <col min="13071" max="13071" width="8" style="247" customWidth="1"/>
    <col min="13072" max="13074" width="5.140625" style="247" customWidth="1"/>
    <col min="13075" max="13075" width="1" style="247" customWidth="1"/>
    <col min="13076" max="13076" width="3" style="247" customWidth="1"/>
    <col min="13077" max="13077" width="9.140625" style="247" customWidth="1"/>
    <col min="13078" max="13313" width="10.42578125" style="247"/>
    <col min="13314" max="13314" width="7" style="247" customWidth="1"/>
    <col min="13315" max="13317" width="5.140625" style="247" customWidth="1"/>
    <col min="13318" max="13318" width="3.140625" style="247" customWidth="1"/>
    <col min="13319" max="13319" width="1.85546875" style="247" customWidth="1"/>
    <col min="13320" max="13320" width="7.140625" style="247" customWidth="1"/>
    <col min="13321" max="13321" width="1.5703125" style="247" customWidth="1"/>
    <col min="13322" max="13324" width="5.140625" style="247" customWidth="1"/>
    <col min="13325" max="13325" width="3.85546875" style="247" customWidth="1"/>
    <col min="13326" max="13326" width="5.140625" style="247" customWidth="1"/>
    <col min="13327" max="13327" width="8" style="247" customWidth="1"/>
    <col min="13328" max="13330" width="5.140625" style="247" customWidth="1"/>
    <col min="13331" max="13331" width="1" style="247" customWidth="1"/>
    <col min="13332" max="13332" width="3" style="247" customWidth="1"/>
    <col min="13333" max="13333" width="9.140625" style="247" customWidth="1"/>
    <col min="13334" max="13569" width="10.42578125" style="247"/>
    <col min="13570" max="13570" width="7" style="247" customWidth="1"/>
    <col min="13571" max="13573" width="5.140625" style="247" customWidth="1"/>
    <col min="13574" max="13574" width="3.140625" style="247" customWidth="1"/>
    <col min="13575" max="13575" width="1.85546875" style="247" customWidth="1"/>
    <col min="13576" max="13576" width="7.140625" style="247" customWidth="1"/>
    <col min="13577" max="13577" width="1.5703125" style="247" customWidth="1"/>
    <col min="13578" max="13580" width="5.140625" style="247" customWidth="1"/>
    <col min="13581" max="13581" width="3.85546875" style="247" customWidth="1"/>
    <col min="13582" max="13582" width="5.140625" style="247" customWidth="1"/>
    <col min="13583" max="13583" width="8" style="247" customWidth="1"/>
    <col min="13584" max="13586" width="5.140625" style="247" customWidth="1"/>
    <col min="13587" max="13587" width="1" style="247" customWidth="1"/>
    <col min="13588" max="13588" width="3" style="247" customWidth="1"/>
    <col min="13589" max="13589" width="9.140625" style="247" customWidth="1"/>
    <col min="13590" max="13825" width="10.42578125" style="247"/>
    <col min="13826" max="13826" width="7" style="247" customWidth="1"/>
    <col min="13827" max="13829" width="5.140625" style="247" customWidth="1"/>
    <col min="13830" max="13830" width="3.140625" style="247" customWidth="1"/>
    <col min="13831" max="13831" width="1.85546875" style="247" customWidth="1"/>
    <col min="13832" max="13832" width="7.140625" style="247" customWidth="1"/>
    <col min="13833" max="13833" width="1.5703125" style="247" customWidth="1"/>
    <col min="13834" max="13836" width="5.140625" style="247" customWidth="1"/>
    <col min="13837" max="13837" width="3.85546875" style="247" customWidth="1"/>
    <col min="13838" max="13838" width="5.140625" style="247" customWidth="1"/>
    <col min="13839" max="13839" width="8" style="247" customWidth="1"/>
    <col min="13840" max="13842" width="5.140625" style="247" customWidth="1"/>
    <col min="13843" max="13843" width="1" style="247" customWidth="1"/>
    <col min="13844" max="13844" width="3" style="247" customWidth="1"/>
    <col min="13845" max="13845" width="9.140625" style="247" customWidth="1"/>
    <col min="13846" max="14081" width="10.42578125" style="247"/>
    <col min="14082" max="14082" width="7" style="247" customWidth="1"/>
    <col min="14083" max="14085" width="5.140625" style="247" customWidth="1"/>
    <col min="14086" max="14086" width="3.140625" style="247" customWidth="1"/>
    <col min="14087" max="14087" width="1.85546875" style="247" customWidth="1"/>
    <col min="14088" max="14088" width="7.140625" style="247" customWidth="1"/>
    <col min="14089" max="14089" width="1.5703125" style="247" customWidth="1"/>
    <col min="14090" max="14092" width="5.140625" style="247" customWidth="1"/>
    <col min="14093" max="14093" width="3.85546875" style="247" customWidth="1"/>
    <col min="14094" max="14094" width="5.140625" style="247" customWidth="1"/>
    <col min="14095" max="14095" width="8" style="247" customWidth="1"/>
    <col min="14096" max="14098" width="5.140625" style="247" customWidth="1"/>
    <col min="14099" max="14099" width="1" style="247" customWidth="1"/>
    <col min="14100" max="14100" width="3" style="247" customWidth="1"/>
    <col min="14101" max="14101" width="9.140625" style="247" customWidth="1"/>
    <col min="14102" max="14337" width="10.42578125" style="247"/>
    <col min="14338" max="14338" width="7" style="247" customWidth="1"/>
    <col min="14339" max="14341" width="5.140625" style="247" customWidth="1"/>
    <col min="14342" max="14342" width="3.140625" style="247" customWidth="1"/>
    <col min="14343" max="14343" width="1.85546875" style="247" customWidth="1"/>
    <col min="14344" max="14344" width="7.140625" style="247" customWidth="1"/>
    <col min="14345" max="14345" width="1.5703125" style="247" customWidth="1"/>
    <col min="14346" max="14348" width="5.140625" style="247" customWidth="1"/>
    <col min="14349" max="14349" width="3.85546875" style="247" customWidth="1"/>
    <col min="14350" max="14350" width="5.140625" style="247" customWidth="1"/>
    <col min="14351" max="14351" width="8" style="247" customWidth="1"/>
    <col min="14352" max="14354" width="5.140625" style="247" customWidth="1"/>
    <col min="14355" max="14355" width="1" style="247" customWidth="1"/>
    <col min="14356" max="14356" width="3" style="247" customWidth="1"/>
    <col min="14357" max="14357" width="9.140625" style="247" customWidth="1"/>
    <col min="14358" max="14593" width="10.42578125" style="247"/>
    <col min="14594" max="14594" width="7" style="247" customWidth="1"/>
    <col min="14595" max="14597" width="5.140625" style="247" customWidth="1"/>
    <col min="14598" max="14598" width="3.140625" style="247" customWidth="1"/>
    <col min="14599" max="14599" width="1.85546875" style="247" customWidth="1"/>
    <col min="14600" max="14600" width="7.140625" style="247" customWidth="1"/>
    <col min="14601" max="14601" width="1.5703125" style="247" customWidth="1"/>
    <col min="14602" max="14604" width="5.140625" style="247" customWidth="1"/>
    <col min="14605" max="14605" width="3.85546875" style="247" customWidth="1"/>
    <col min="14606" max="14606" width="5.140625" style="247" customWidth="1"/>
    <col min="14607" max="14607" width="8" style="247" customWidth="1"/>
    <col min="14608" max="14610" width="5.140625" style="247" customWidth="1"/>
    <col min="14611" max="14611" width="1" style="247" customWidth="1"/>
    <col min="14612" max="14612" width="3" style="247" customWidth="1"/>
    <col min="14613" max="14613" width="9.140625" style="247" customWidth="1"/>
    <col min="14614" max="14849" width="10.42578125" style="247"/>
    <col min="14850" max="14850" width="7" style="247" customWidth="1"/>
    <col min="14851" max="14853" width="5.140625" style="247" customWidth="1"/>
    <col min="14854" max="14854" width="3.140625" style="247" customWidth="1"/>
    <col min="14855" max="14855" width="1.85546875" style="247" customWidth="1"/>
    <col min="14856" max="14856" width="7.140625" style="247" customWidth="1"/>
    <col min="14857" max="14857" width="1.5703125" style="247" customWidth="1"/>
    <col min="14858" max="14860" width="5.140625" style="247" customWidth="1"/>
    <col min="14861" max="14861" width="3.85546875" style="247" customWidth="1"/>
    <col min="14862" max="14862" width="5.140625" style="247" customWidth="1"/>
    <col min="14863" max="14863" width="8" style="247" customWidth="1"/>
    <col min="14864" max="14866" width="5.140625" style="247" customWidth="1"/>
    <col min="14867" max="14867" width="1" style="247" customWidth="1"/>
    <col min="14868" max="14868" width="3" style="247" customWidth="1"/>
    <col min="14869" max="14869" width="9.140625" style="247" customWidth="1"/>
    <col min="14870" max="15105" width="10.42578125" style="247"/>
    <col min="15106" max="15106" width="7" style="247" customWidth="1"/>
    <col min="15107" max="15109" width="5.140625" style="247" customWidth="1"/>
    <col min="15110" max="15110" width="3.140625" style="247" customWidth="1"/>
    <col min="15111" max="15111" width="1.85546875" style="247" customWidth="1"/>
    <col min="15112" max="15112" width="7.140625" style="247" customWidth="1"/>
    <col min="15113" max="15113" width="1.5703125" style="247" customWidth="1"/>
    <col min="15114" max="15116" width="5.140625" style="247" customWidth="1"/>
    <col min="15117" max="15117" width="3.85546875" style="247" customWidth="1"/>
    <col min="15118" max="15118" width="5.140625" style="247" customWidth="1"/>
    <col min="15119" max="15119" width="8" style="247" customWidth="1"/>
    <col min="15120" max="15122" width="5.140625" style="247" customWidth="1"/>
    <col min="15123" max="15123" width="1" style="247" customWidth="1"/>
    <col min="15124" max="15124" width="3" style="247" customWidth="1"/>
    <col min="15125" max="15125" width="9.140625" style="247" customWidth="1"/>
    <col min="15126" max="15361" width="10.42578125" style="247"/>
    <col min="15362" max="15362" width="7" style="247" customWidth="1"/>
    <col min="15363" max="15365" width="5.140625" style="247" customWidth="1"/>
    <col min="15366" max="15366" width="3.140625" style="247" customWidth="1"/>
    <col min="15367" max="15367" width="1.85546875" style="247" customWidth="1"/>
    <col min="15368" max="15368" width="7.140625" style="247" customWidth="1"/>
    <col min="15369" max="15369" width="1.5703125" style="247" customWidth="1"/>
    <col min="15370" max="15372" width="5.140625" style="247" customWidth="1"/>
    <col min="15373" max="15373" width="3.85546875" style="247" customWidth="1"/>
    <col min="15374" max="15374" width="5.140625" style="247" customWidth="1"/>
    <col min="15375" max="15375" width="8" style="247" customWidth="1"/>
    <col min="15376" max="15378" width="5.140625" style="247" customWidth="1"/>
    <col min="15379" max="15379" width="1" style="247" customWidth="1"/>
    <col min="15380" max="15380" width="3" style="247" customWidth="1"/>
    <col min="15381" max="15381" width="9.140625" style="247" customWidth="1"/>
    <col min="15382" max="15617" width="10.42578125" style="247"/>
    <col min="15618" max="15618" width="7" style="247" customWidth="1"/>
    <col min="15619" max="15621" width="5.140625" style="247" customWidth="1"/>
    <col min="15622" max="15622" width="3.140625" style="247" customWidth="1"/>
    <col min="15623" max="15623" width="1.85546875" style="247" customWidth="1"/>
    <col min="15624" max="15624" width="7.140625" style="247" customWidth="1"/>
    <col min="15625" max="15625" width="1.5703125" style="247" customWidth="1"/>
    <col min="15626" max="15628" width="5.140625" style="247" customWidth="1"/>
    <col min="15629" max="15629" width="3.85546875" style="247" customWidth="1"/>
    <col min="15630" max="15630" width="5.140625" style="247" customWidth="1"/>
    <col min="15631" max="15631" width="8" style="247" customWidth="1"/>
    <col min="15632" max="15634" width="5.140625" style="247" customWidth="1"/>
    <col min="15635" max="15635" width="1" style="247" customWidth="1"/>
    <col min="15636" max="15636" width="3" style="247" customWidth="1"/>
    <col min="15637" max="15637" width="9.140625" style="247" customWidth="1"/>
    <col min="15638" max="15873" width="10.42578125" style="247"/>
    <col min="15874" max="15874" width="7" style="247" customWidth="1"/>
    <col min="15875" max="15877" width="5.140625" style="247" customWidth="1"/>
    <col min="15878" max="15878" width="3.140625" style="247" customWidth="1"/>
    <col min="15879" max="15879" width="1.85546875" style="247" customWidth="1"/>
    <col min="15880" max="15880" width="7.140625" style="247" customWidth="1"/>
    <col min="15881" max="15881" width="1.5703125" style="247" customWidth="1"/>
    <col min="15882" max="15884" width="5.140625" style="247" customWidth="1"/>
    <col min="15885" max="15885" width="3.85546875" style="247" customWidth="1"/>
    <col min="15886" max="15886" width="5.140625" style="247" customWidth="1"/>
    <col min="15887" max="15887" width="8" style="247" customWidth="1"/>
    <col min="15888" max="15890" width="5.140625" style="247" customWidth="1"/>
    <col min="15891" max="15891" width="1" style="247" customWidth="1"/>
    <col min="15892" max="15892" width="3" style="247" customWidth="1"/>
    <col min="15893" max="15893" width="9.140625" style="247" customWidth="1"/>
    <col min="15894" max="16129" width="10.42578125" style="247"/>
    <col min="16130" max="16130" width="7" style="247" customWidth="1"/>
    <col min="16131" max="16133" width="5.140625" style="247" customWidth="1"/>
    <col min="16134" max="16134" width="3.140625" style="247" customWidth="1"/>
    <col min="16135" max="16135" width="1.85546875" style="247" customWidth="1"/>
    <col min="16136" max="16136" width="7.140625" style="247" customWidth="1"/>
    <col min="16137" max="16137" width="1.5703125" style="247" customWidth="1"/>
    <col min="16138" max="16140" width="5.140625" style="247" customWidth="1"/>
    <col min="16141" max="16141" width="3.85546875" style="247" customWidth="1"/>
    <col min="16142" max="16142" width="5.140625" style="247" customWidth="1"/>
    <col min="16143" max="16143" width="8" style="247" customWidth="1"/>
    <col min="16144" max="16146" width="5.140625" style="247" customWidth="1"/>
    <col min="16147" max="16147" width="1" style="247" customWidth="1"/>
    <col min="16148" max="16148" width="3" style="247" customWidth="1"/>
    <col min="16149" max="16149" width="9.140625" style="247" customWidth="1"/>
    <col min="16150" max="16384" width="10.42578125" style="247"/>
  </cols>
  <sheetData>
    <row r="1" spans="2:25" ht="24.95" customHeight="1">
      <c r="B1" s="790" t="s">
        <v>111</v>
      </c>
      <c r="C1" s="790"/>
      <c r="D1" s="790"/>
      <c r="E1" s="790"/>
      <c r="F1" s="790"/>
      <c r="G1" s="790"/>
      <c r="H1" s="790"/>
      <c r="I1" s="790"/>
      <c r="J1" s="790"/>
      <c r="K1" s="790"/>
      <c r="L1" s="790"/>
      <c r="M1" s="790"/>
      <c r="N1" s="790"/>
      <c r="O1" s="790"/>
      <c r="P1" s="790"/>
      <c r="Q1" s="790"/>
      <c r="R1" s="790"/>
      <c r="S1" s="790"/>
      <c r="T1" s="790"/>
      <c r="U1" s="246" t="s">
        <v>112</v>
      </c>
    </row>
    <row r="2" spans="2:25" s="249" customFormat="1" ht="21" customHeight="1">
      <c r="B2" s="248"/>
      <c r="C2" s="791" t="s">
        <v>113</v>
      </c>
      <c r="D2" s="792"/>
      <c r="E2" s="792"/>
      <c r="F2" s="791" t="s">
        <v>160</v>
      </c>
      <c r="G2" s="792"/>
      <c r="H2" s="792"/>
      <c r="I2" s="792"/>
      <c r="J2" s="792"/>
      <c r="K2" s="792"/>
      <c r="L2" s="792"/>
      <c r="M2" s="792"/>
      <c r="N2" s="792"/>
      <c r="O2" s="792"/>
      <c r="P2" s="792"/>
      <c r="Q2" s="792"/>
      <c r="R2" s="792"/>
      <c r="S2" s="792"/>
      <c r="T2" s="792"/>
      <c r="U2" s="792"/>
    </row>
    <row r="3" spans="2:25" s="249" customFormat="1" ht="21" customHeight="1">
      <c r="B3" s="248"/>
      <c r="C3" s="351"/>
      <c r="D3" s="342"/>
      <c r="E3" s="342"/>
      <c r="F3" s="351" t="s">
        <v>161</v>
      </c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</row>
    <row r="4" spans="2:25" ht="21" customHeight="1">
      <c r="B4" s="345"/>
      <c r="C4" s="793" t="s">
        <v>114</v>
      </c>
      <c r="D4" s="794"/>
      <c r="E4" s="794"/>
      <c r="F4" s="793" t="s">
        <v>115</v>
      </c>
      <c r="G4" s="794"/>
      <c r="H4" s="794"/>
      <c r="I4" s="794"/>
      <c r="J4" s="794"/>
      <c r="K4" s="794"/>
      <c r="L4" s="794"/>
      <c r="M4" s="794"/>
      <c r="N4" s="794"/>
      <c r="O4" s="794"/>
      <c r="P4" s="794"/>
      <c r="Q4" s="794"/>
      <c r="R4" s="794"/>
      <c r="S4" s="794"/>
      <c r="T4" s="794"/>
      <c r="U4" s="794"/>
    </row>
    <row r="5" spans="2:25" ht="21" customHeight="1">
      <c r="B5" s="345"/>
      <c r="C5" s="352" t="s">
        <v>116</v>
      </c>
      <c r="D5" s="352"/>
      <c r="E5" s="352"/>
      <c r="F5" s="794" t="s">
        <v>117</v>
      </c>
      <c r="G5" s="794"/>
      <c r="H5" s="794"/>
      <c r="I5" s="794"/>
      <c r="J5" s="794"/>
      <c r="K5" s="794"/>
      <c r="L5" s="794"/>
      <c r="M5" s="794"/>
      <c r="N5" s="794"/>
      <c r="O5" s="794"/>
      <c r="P5" s="794"/>
      <c r="Q5" s="794"/>
      <c r="R5" s="794"/>
      <c r="S5" s="794"/>
      <c r="T5" s="794"/>
      <c r="U5" s="794"/>
    </row>
    <row r="6" spans="2:25" ht="21" customHeight="1">
      <c r="B6" s="345"/>
      <c r="C6" s="352"/>
      <c r="D6" s="352"/>
      <c r="E6" s="352"/>
      <c r="F6" s="350" t="s">
        <v>118</v>
      </c>
      <c r="G6" s="350"/>
      <c r="H6" s="350"/>
      <c r="I6" s="350"/>
      <c r="J6" s="350"/>
      <c r="K6" s="350"/>
      <c r="L6" s="350"/>
      <c r="M6" s="350"/>
      <c r="N6" s="350"/>
      <c r="O6" s="350"/>
      <c r="P6" s="350"/>
      <c r="Q6" s="350"/>
      <c r="R6" s="350"/>
      <c r="S6" s="350"/>
      <c r="T6" s="350"/>
      <c r="U6" s="350"/>
    </row>
    <row r="7" spans="2:25" ht="21" customHeight="1">
      <c r="B7" s="345"/>
      <c r="C7" s="352" t="s">
        <v>119</v>
      </c>
      <c r="D7" s="350"/>
      <c r="E7" s="350"/>
      <c r="F7" s="352" t="s">
        <v>120</v>
      </c>
      <c r="G7" s="350"/>
      <c r="H7" s="350"/>
      <c r="I7" s="352"/>
      <c r="J7" s="350"/>
      <c r="K7" s="350"/>
      <c r="L7" s="350"/>
      <c r="M7" s="350"/>
      <c r="N7" s="350"/>
      <c r="O7" s="350"/>
      <c r="P7" s="350"/>
      <c r="Q7" s="350"/>
      <c r="R7" s="350"/>
      <c r="S7" s="350"/>
      <c r="T7" s="350"/>
      <c r="U7" s="350"/>
    </row>
    <row r="8" spans="2:25" ht="21" customHeight="1">
      <c r="B8" s="345"/>
      <c r="C8" s="793" t="s">
        <v>121</v>
      </c>
      <c r="D8" s="794"/>
      <c r="E8" s="793" t="s">
        <v>159</v>
      </c>
      <c r="F8" s="794"/>
      <c r="G8" s="794"/>
      <c r="H8" s="794"/>
      <c r="I8" s="794"/>
      <c r="J8" s="794"/>
      <c r="K8" s="794"/>
      <c r="L8" s="794"/>
      <c r="M8" s="794"/>
      <c r="N8" s="794"/>
      <c r="O8" s="794"/>
      <c r="P8" s="794"/>
      <c r="Q8" s="794"/>
      <c r="R8" s="794"/>
      <c r="S8" s="794"/>
      <c r="T8" s="794"/>
      <c r="U8" s="794"/>
    </row>
    <row r="9" spans="2:25" ht="21" customHeight="1">
      <c r="B9" s="345"/>
      <c r="C9" s="352" t="s">
        <v>122</v>
      </c>
      <c r="D9" s="352"/>
      <c r="E9" s="352"/>
      <c r="F9" s="352"/>
      <c r="G9" s="352"/>
      <c r="H9" s="352"/>
      <c r="I9" s="250"/>
      <c r="J9" s="795" t="s">
        <v>3</v>
      </c>
      <c r="K9" s="795"/>
      <c r="L9" s="332">
        <v>4</v>
      </c>
      <c r="M9" s="352" t="s">
        <v>57</v>
      </c>
      <c r="N9" s="350"/>
      <c r="O9" s="350"/>
      <c r="P9" s="350"/>
      <c r="Q9" s="350"/>
      <c r="R9" s="350"/>
      <c r="S9" s="350"/>
      <c r="T9" s="350"/>
      <c r="U9" s="350"/>
    </row>
    <row r="10" spans="2:25" ht="21" customHeight="1">
      <c r="B10" s="345"/>
      <c r="C10" s="796" t="s">
        <v>169</v>
      </c>
      <c r="D10" s="794"/>
      <c r="E10" s="794"/>
      <c r="F10" s="794"/>
      <c r="G10" s="794"/>
      <c r="H10" s="794"/>
      <c r="I10" s="794"/>
      <c r="J10" s="794"/>
      <c r="K10" s="794"/>
      <c r="L10" s="794"/>
      <c r="M10" s="794"/>
      <c r="N10" s="794"/>
      <c r="O10" s="794"/>
      <c r="P10" s="794"/>
      <c r="Q10" s="794"/>
      <c r="R10" s="794"/>
      <c r="S10" s="794"/>
      <c r="T10" s="794"/>
      <c r="U10" s="794"/>
    </row>
    <row r="11" spans="2:25" ht="21" customHeight="1" thickBot="1">
      <c r="C11" s="797"/>
      <c r="D11" s="798"/>
      <c r="E11" s="798"/>
      <c r="F11" s="798"/>
      <c r="G11" s="798"/>
      <c r="H11" s="798"/>
      <c r="I11" s="798"/>
      <c r="J11" s="798"/>
      <c r="K11" s="798"/>
      <c r="L11" s="798"/>
      <c r="M11" s="798"/>
      <c r="N11" s="798"/>
      <c r="O11" s="798"/>
      <c r="P11" s="798"/>
      <c r="Q11" s="798"/>
      <c r="R11" s="798"/>
      <c r="S11" s="798"/>
      <c r="T11" s="798"/>
      <c r="U11" s="798"/>
    </row>
    <row r="12" spans="2:25" s="251" customFormat="1" ht="21" customHeight="1" thickTop="1">
      <c r="B12" s="799" t="s">
        <v>1</v>
      </c>
      <c r="C12" s="801" t="s">
        <v>2</v>
      </c>
      <c r="D12" s="802"/>
      <c r="E12" s="802"/>
      <c r="F12" s="802"/>
      <c r="G12" s="802"/>
      <c r="H12" s="802"/>
      <c r="I12" s="803"/>
      <c r="J12" s="807" t="s">
        <v>123</v>
      </c>
      <c r="K12" s="808"/>
      <c r="L12" s="808"/>
      <c r="M12" s="809"/>
      <c r="N12" s="801" t="s">
        <v>124</v>
      </c>
      <c r="O12" s="803"/>
      <c r="P12" s="807" t="s">
        <v>125</v>
      </c>
      <c r="Q12" s="808"/>
      <c r="R12" s="808"/>
      <c r="S12" s="809"/>
      <c r="T12" s="801" t="s">
        <v>8</v>
      </c>
      <c r="U12" s="803"/>
    </row>
    <row r="13" spans="2:25" s="251" customFormat="1" ht="21" customHeight="1" thickBot="1">
      <c r="B13" s="800"/>
      <c r="C13" s="804"/>
      <c r="D13" s="805"/>
      <c r="E13" s="805"/>
      <c r="F13" s="805"/>
      <c r="G13" s="805"/>
      <c r="H13" s="805"/>
      <c r="I13" s="806"/>
      <c r="J13" s="822" t="s">
        <v>126</v>
      </c>
      <c r="K13" s="823"/>
      <c r="L13" s="823"/>
      <c r="M13" s="824"/>
      <c r="N13" s="804"/>
      <c r="O13" s="806"/>
      <c r="P13" s="822" t="s">
        <v>127</v>
      </c>
      <c r="Q13" s="823"/>
      <c r="R13" s="823"/>
      <c r="S13" s="824"/>
      <c r="T13" s="804"/>
      <c r="U13" s="806"/>
      <c r="Y13" s="252">
        <f>P25</f>
        <v>511400</v>
      </c>
    </row>
    <row r="14" spans="2:25" s="254" customFormat="1" ht="21" customHeight="1" thickTop="1">
      <c r="B14" s="253">
        <v>1</v>
      </c>
      <c r="C14" s="825" t="s">
        <v>128</v>
      </c>
      <c r="D14" s="826"/>
      <c r="E14" s="826"/>
      <c r="F14" s="826"/>
      <c r="G14" s="826"/>
      <c r="H14" s="826"/>
      <c r="I14" s="827"/>
      <c r="J14" s="828">
        <f>'ปร.4 - 12 คัน(บพ)'!J18</f>
        <v>390695.18464000005</v>
      </c>
      <c r="K14" s="829"/>
      <c r="L14" s="829"/>
      <c r="M14" s="830"/>
      <c r="N14" s="831">
        <v>1.3091999999999999</v>
      </c>
      <c r="O14" s="832"/>
      <c r="P14" s="828">
        <f>J14*N14</f>
        <v>511498.13573068805</v>
      </c>
      <c r="Q14" s="829"/>
      <c r="R14" s="829"/>
      <c r="S14" s="830"/>
      <c r="T14" s="833"/>
      <c r="U14" s="827"/>
      <c r="W14" s="255">
        <f>P14</f>
        <v>511498.13573068805</v>
      </c>
      <c r="Y14" s="256">
        <v>14600000</v>
      </c>
    </row>
    <row r="15" spans="2:25" s="254" customFormat="1" ht="21" customHeight="1">
      <c r="B15" s="257"/>
      <c r="C15" s="812"/>
      <c r="D15" s="792"/>
      <c r="E15" s="792"/>
      <c r="F15" s="792"/>
      <c r="G15" s="792"/>
      <c r="H15" s="792"/>
      <c r="I15" s="813"/>
      <c r="J15" s="814"/>
      <c r="K15" s="815"/>
      <c r="L15" s="815"/>
      <c r="M15" s="816"/>
      <c r="N15" s="817"/>
      <c r="O15" s="818"/>
      <c r="P15" s="828"/>
      <c r="Q15" s="829"/>
      <c r="R15" s="829"/>
      <c r="S15" s="830"/>
      <c r="T15" s="810"/>
      <c r="U15" s="811"/>
      <c r="W15" s="255">
        <f>J14</f>
        <v>390695.18464000005</v>
      </c>
    </row>
    <row r="16" spans="2:25" s="254" customFormat="1" ht="21" customHeight="1">
      <c r="B16" s="258"/>
      <c r="C16" s="812"/>
      <c r="D16" s="792"/>
      <c r="E16" s="792"/>
      <c r="F16" s="792"/>
      <c r="G16" s="792"/>
      <c r="H16" s="792"/>
      <c r="I16" s="813"/>
      <c r="J16" s="814"/>
      <c r="K16" s="815"/>
      <c r="L16" s="815"/>
      <c r="M16" s="816"/>
      <c r="N16" s="817"/>
      <c r="O16" s="818"/>
      <c r="P16" s="819"/>
      <c r="Q16" s="820"/>
      <c r="R16" s="820"/>
      <c r="S16" s="821"/>
      <c r="T16" s="347"/>
      <c r="U16" s="348"/>
      <c r="W16" s="255">
        <f>W14-W15</f>
        <v>120802.951090688</v>
      </c>
      <c r="Y16" s="255">
        <f>Y13-Y14</f>
        <v>-14088600</v>
      </c>
    </row>
    <row r="17" spans="2:25" s="254" customFormat="1" ht="21" customHeight="1">
      <c r="B17" s="257"/>
      <c r="C17" s="349"/>
      <c r="D17" s="342"/>
      <c r="E17" s="342"/>
      <c r="F17" s="342"/>
      <c r="G17" s="342"/>
      <c r="H17" s="342"/>
      <c r="I17" s="343"/>
      <c r="J17" s="814"/>
      <c r="K17" s="815"/>
      <c r="L17" s="815"/>
      <c r="M17" s="816"/>
      <c r="N17" s="344"/>
      <c r="O17" s="346"/>
      <c r="P17" s="819"/>
      <c r="Q17" s="820"/>
      <c r="R17" s="820"/>
      <c r="S17" s="821"/>
      <c r="T17" s="259"/>
      <c r="U17" s="260"/>
      <c r="V17" s="254">
        <v>1.07</v>
      </c>
      <c r="W17" s="255"/>
      <c r="Y17" s="255"/>
    </row>
    <row r="18" spans="2:25" ht="21" customHeight="1">
      <c r="B18" s="261"/>
      <c r="C18" s="812"/>
      <c r="D18" s="792"/>
      <c r="E18" s="792"/>
      <c r="F18" s="792"/>
      <c r="G18" s="792"/>
      <c r="H18" s="792"/>
      <c r="I18" s="813"/>
      <c r="J18" s="814"/>
      <c r="K18" s="815"/>
      <c r="L18" s="815"/>
      <c r="M18" s="816"/>
      <c r="N18" s="817"/>
      <c r="O18" s="818"/>
      <c r="P18" s="834"/>
      <c r="Q18" s="835"/>
      <c r="R18" s="835"/>
      <c r="S18" s="836"/>
      <c r="T18" s="810"/>
      <c r="U18" s="811"/>
    </row>
    <row r="19" spans="2:25" ht="21" customHeight="1">
      <c r="B19" s="261"/>
      <c r="C19" s="843" t="s">
        <v>129</v>
      </c>
      <c r="D19" s="844"/>
      <c r="E19" s="844"/>
      <c r="F19" s="844"/>
      <c r="G19" s="844"/>
      <c r="H19" s="844"/>
      <c r="I19" s="845"/>
      <c r="J19" s="817"/>
      <c r="K19" s="842"/>
      <c r="L19" s="842"/>
      <c r="M19" s="818"/>
      <c r="N19" s="817"/>
      <c r="O19" s="818"/>
      <c r="P19" s="834"/>
      <c r="Q19" s="835"/>
      <c r="R19" s="835"/>
      <c r="S19" s="836"/>
      <c r="T19" s="810"/>
      <c r="U19" s="811"/>
    </row>
    <row r="20" spans="2:25" ht="21" customHeight="1">
      <c r="B20" s="261"/>
      <c r="C20" s="837" t="s">
        <v>130</v>
      </c>
      <c r="D20" s="838"/>
      <c r="E20" s="838"/>
      <c r="F20" s="838"/>
      <c r="G20" s="838"/>
      <c r="H20" s="839">
        <v>0</v>
      </c>
      <c r="I20" s="840"/>
      <c r="J20" s="841"/>
      <c r="K20" s="842"/>
      <c r="L20" s="842"/>
      <c r="M20" s="818"/>
      <c r="N20" s="817"/>
      <c r="O20" s="818"/>
      <c r="P20" s="834"/>
      <c r="Q20" s="835"/>
      <c r="R20" s="835"/>
      <c r="S20" s="836"/>
      <c r="T20" s="810"/>
      <c r="U20" s="811"/>
    </row>
    <row r="21" spans="2:25" ht="21" customHeight="1">
      <c r="B21" s="261"/>
      <c r="C21" s="846" t="s">
        <v>131</v>
      </c>
      <c r="D21" s="847"/>
      <c r="E21" s="847"/>
      <c r="F21" s="847"/>
      <c r="G21" s="847"/>
      <c r="H21" s="848">
        <v>0</v>
      </c>
      <c r="I21" s="849"/>
      <c r="J21" s="817"/>
      <c r="K21" s="842"/>
      <c r="L21" s="842"/>
      <c r="M21" s="818"/>
      <c r="N21" s="817"/>
      <c r="O21" s="818"/>
      <c r="P21" s="834"/>
      <c r="Q21" s="835"/>
      <c r="R21" s="835"/>
      <c r="S21" s="836"/>
      <c r="T21" s="810"/>
      <c r="U21" s="811"/>
    </row>
    <row r="22" spans="2:25" ht="21" customHeight="1">
      <c r="B22" s="261"/>
      <c r="C22" s="846" t="s">
        <v>132</v>
      </c>
      <c r="D22" s="847"/>
      <c r="E22" s="847"/>
      <c r="F22" s="847"/>
      <c r="G22" s="847"/>
      <c r="H22" s="848">
        <v>7</v>
      </c>
      <c r="I22" s="849"/>
      <c r="J22" s="817"/>
      <c r="K22" s="842"/>
      <c r="L22" s="842"/>
      <c r="M22" s="818"/>
      <c r="N22" s="817"/>
      <c r="O22" s="818"/>
      <c r="P22" s="834"/>
      <c r="Q22" s="835"/>
      <c r="R22" s="835"/>
      <c r="S22" s="836"/>
      <c r="T22" s="810"/>
      <c r="U22" s="811"/>
    </row>
    <row r="23" spans="2:25" ht="21" customHeight="1" thickBot="1">
      <c r="B23" s="262"/>
      <c r="C23" s="859" t="s">
        <v>133</v>
      </c>
      <c r="D23" s="798"/>
      <c r="E23" s="798"/>
      <c r="F23" s="798"/>
      <c r="G23" s="798"/>
      <c r="H23" s="860">
        <v>7</v>
      </c>
      <c r="I23" s="861"/>
      <c r="J23" s="862"/>
      <c r="K23" s="863"/>
      <c r="L23" s="863"/>
      <c r="M23" s="864"/>
      <c r="N23" s="862"/>
      <c r="O23" s="864"/>
      <c r="P23" s="865"/>
      <c r="Q23" s="866"/>
      <c r="R23" s="866"/>
      <c r="S23" s="867"/>
      <c r="T23" s="868"/>
      <c r="U23" s="869"/>
    </row>
    <row r="24" spans="2:25" ht="21" customHeight="1" thickTop="1">
      <c r="B24" s="263" t="s">
        <v>134</v>
      </c>
      <c r="C24" s="879" t="s">
        <v>135</v>
      </c>
      <c r="D24" s="792"/>
      <c r="E24" s="792"/>
      <c r="F24" s="792"/>
      <c r="G24" s="792"/>
      <c r="H24" s="792"/>
      <c r="I24" s="792"/>
      <c r="J24" s="792"/>
      <c r="K24" s="792"/>
      <c r="L24" s="792"/>
      <c r="M24" s="792"/>
      <c r="N24" s="792"/>
      <c r="O24" s="813"/>
      <c r="P24" s="880">
        <f>SUM(P14:S23)</f>
        <v>511498.13573068805</v>
      </c>
      <c r="Q24" s="881"/>
      <c r="R24" s="881"/>
      <c r="S24" s="882"/>
      <c r="T24" s="850"/>
      <c r="U24" s="851"/>
    </row>
    <row r="25" spans="2:25" ht="21" customHeight="1" thickBot="1">
      <c r="B25" s="262"/>
      <c r="C25" s="852" t="s">
        <v>136</v>
      </c>
      <c r="D25" s="853"/>
      <c r="E25" s="853"/>
      <c r="F25" s="853"/>
      <c r="G25" s="854" t="str">
        <f>+(BAHTTEXT((P25)))</f>
        <v>ห้าแสนหนึ่งหมื่นหนึ่งพันสี่ร้อยบาทถ้วน</v>
      </c>
      <c r="H25" s="854"/>
      <c r="I25" s="854"/>
      <c r="J25" s="854"/>
      <c r="K25" s="854"/>
      <c r="L25" s="854"/>
      <c r="M25" s="854"/>
      <c r="N25" s="854"/>
      <c r="O25" s="855"/>
      <c r="P25" s="856">
        <f>+ROUNDDOWN(P24,-2)</f>
        <v>511400</v>
      </c>
      <c r="Q25" s="857"/>
      <c r="R25" s="857"/>
      <c r="S25" s="858"/>
      <c r="T25" s="264" t="s">
        <v>137</v>
      </c>
      <c r="U25" s="265"/>
    </row>
    <row r="26" spans="2:25" ht="21" customHeight="1" thickTop="1">
      <c r="B26" s="266"/>
      <c r="C26" s="870" t="s">
        <v>138</v>
      </c>
      <c r="D26" s="871"/>
      <c r="E26" s="871"/>
      <c r="F26" s="871"/>
      <c r="G26" s="871"/>
      <c r="H26" s="871"/>
      <c r="I26" s="872">
        <v>80.599999999999994</v>
      </c>
      <c r="J26" s="872"/>
      <c r="K26" s="341"/>
      <c r="L26" s="341"/>
      <c r="M26" s="341"/>
      <c r="N26" s="267" t="s">
        <v>139</v>
      </c>
      <c r="O26" s="341"/>
      <c r="P26" s="341"/>
      <c r="Q26" s="341"/>
      <c r="R26" s="341"/>
      <c r="S26" s="341"/>
      <c r="T26" s="341"/>
      <c r="U26" s="341"/>
    </row>
    <row r="27" spans="2:25" ht="21" customHeight="1">
      <c r="B27" s="268"/>
      <c r="C27" s="873" t="s">
        <v>140</v>
      </c>
      <c r="D27" s="874"/>
      <c r="E27" s="874"/>
      <c r="F27" s="874"/>
      <c r="G27" s="874"/>
      <c r="H27" s="874"/>
      <c r="I27" s="875">
        <f>P25/I26</f>
        <v>6344.9131513647644</v>
      </c>
      <c r="J27" s="875"/>
      <c r="K27" s="269"/>
      <c r="L27" s="270"/>
      <c r="M27" s="270"/>
      <c r="N27" s="271" t="s">
        <v>141</v>
      </c>
      <c r="O27" s="270"/>
      <c r="P27" s="270"/>
      <c r="Q27" s="270"/>
      <c r="R27" s="270"/>
      <c r="S27" s="270"/>
      <c r="T27" s="270"/>
      <c r="U27" s="270"/>
    </row>
    <row r="28" spans="2:25" ht="21" customHeight="1">
      <c r="B28" s="272"/>
      <c r="C28" s="273"/>
      <c r="D28" s="274"/>
      <c r="E28" s="274"/>
      <c r="F28" s="274"/>
      <c r="G28" s="274"/>
      <c r="H28" s="274"/>
      <c r="I28" s="271"/>
      <c r="J28" s="275"/>
      <c r="K28" s="275"/>
      <c r="L28" s="275"/>
      <c r="M28" s="275"/>
      <c r="N28" s="276"/>
      <c r="O28" s="275"/>
      <c r="P28" s="275"/>
      <c r="Q28" s="275"/>
      <c r="R28" s="275"/>
      <c r="S28" s="275"/>
      <c r="T28" s="275"/>
      <c r="U28" s="275"/>
    </row>
    <row r="29" spans="2:25" s="279" customFormat="1" ht="20.25" customHeight="1">
      <c r="B29" s="334"/>
      <c r="C29" s="334"/>
      <c r="D29" s="277"/>
      <c r="E29" s="277"/>
      <c r="F29" s="277"/>
      <c r="G29" s="278"/>
      <c r="H29" s="334"/>
      <c r="I29" s="334"/>
      <c r="J29" s="334"/>
      <c r="K29" s="334"/>
      <c r="L29" s="278"/>
      <c r="M29" s="278"/>
      <c r="N29" s="278"/>
      <c r="O29" s="278"/>
      <c r="P29" s="278"/>
      <c r="Q29" s="278"/>
      <c r="R29" s="278"/>
      <c r="S29" s="278"/>
      <c r="T29" s="278"/>
      <c r="U29" s="278"/>
      <c r="V29" s="334"/>
      <c r="W29" s="334"/>
    </row>
    <row r="30" spans="2:25" s="279" customFormat="1" ht="20.25" customHeight="1">
      <c r="B30" s="876"/>
      <c r="C30" s="876"/>
      <c r="D30" s="877"/>
      <c r="E30" s="877"/>
      <c r="F30" s="877"/>
      <c r="G30" s="878" t="s">
        <v>142</v>
      </c>
      <c r="H30" s="878"/>
      <c r="I30" s="878"/>
      <c r="J30" s="878"/>
      <c r="K30" s="878"/>
      <c r="L30" s="878"/>
      <c r="M30" s="878"/>
      <c r="N30" s="878"/>
      <c r="O30" s="878"/>
      <c r="P30" s="886" t="s">
        <v>170</v>
      </c>
      <c r="Q30" s="886"/>
      <c r="R30" s="886"/>
      <c r="S30" s="886"/>
      <c r="T30" s="886"/>
      <c r="U30" s="886"/>
      <c r="V30" s="887"/>
      <c r="W30" s="887"/>
    </row>
    <row r="31" spans="2:25" s="279" customFormat="1" ht="20.25" customHeight="1">
      <c r="B31" s="876"/>
      <c r="C31" s="876"/>
      <c r="D31" s="876"/>
      <c r="E31" s="876"/>
      <c r="F31" s="876"/>
      <c r="G31" s="883" t="s">
        <v>143</v>
      </c>
      <c r="H31" s="883"/>
      <c r="I31" s="883"/>
      <c r="J31" s="883"/>
      <c r="K31" s="883"/>
      <c r="L31" s="883"/>
      <c r="M31" s="883"/>
      <c r="N31" s="883"/>
      <c r="O31" s="883"/>
      <c r="P31" s="280"/>
      <c r="Q31" s="888"/>
      <c r="R31" s="888"/>
      <c r="S31" s="888"/>
      <c r="T31" s="888"/>
      <c r="U31" s="888"/>
      <c r="V31" s="887"/>
      <c r="W31" s="887"/>
    </row>
    <row r="32" spans="2:25" s="279" customFormat="1" ht="20.25" customHeight="1">
      <c r="B32" s="334"/>
      <c r="C32" s="334"/>
      <c r="D32" s="334"/>
      <c r="E32" s="334"/>
      <c r="F32" s="334"/>
      <c r="G32" s="883" t="s">
        <v>144</v>
      </c>
      <c r="H32" s="883"/>
      <c r="I32" s="883"/>
      <c r="J32" s="883"/>
      <c r="K32" s="883"/>
      <c r="L32" s="883"/>
      <c r="M32" s="883"/>
      <c r="N32" s="883"/>
      <c r="O32" s="883"/>
      <c r="P32" s="280"/>
      <c r="Q32" s="340"/>
      <c r="R32" s="340"/>
      <c r="S32" s="340"/>
      <c r="T32" s="340"/>
      <c r="U32" s="340"/>
      <c r="V32" s="339"/>
      <c r="W32" s="339"/>
    </row>
    <row r="33" spans="2:23" s="281" customFormat="1" ht="20.25" customHeight="1">
      <c r="B33" s="876"/>
      <c r="C33" s="876"/>
      <c r="D33" s="876"/>
      <c r="E33" s="876"/>
      <c r="F33" s="876"/>
      <c r="G33" s="884"/>
      <c r="H33" s="884"/>
      <c r="I33" s="884"/>
      <c r="J33" s="884"/>
      <c r="K33" s="884"/>
      <c r="L33" s="885"/>
      <c r="M33" s="885"/>
      <c r="N33" s="885"/>
      <c r="O33" s="885"/>
      <c r="P33" s="885"/>
      <c r="Q33" s="884"/>
      <c r="R33" s="884"/>
      <c r="S33" s="884"/>
      <c r="T33" s="884"/>
      <c r="U33" s="884"/>
      <c r="V33" s="887"/>
      <c r="W33" s="887"/>
    </row>
    <row r="34" spans="2:23" s="281" customFormat="1" ht="20.25" customHeight="1">
      <c r="B34" s="876"/>
      <c r="C34" s="876"/>
      <c r="D34" s="877"/>
      <c r="E34" s="877"/>
      <c r="F34" s="877"/>
      <c r="G34" s="878" t="s">
        <v>142</v>
      </c>
      <c r="H34" s="878"/>
      <c r="I34" s="878"/>
      <c r="J34" s="878"/>
      <c r="K34" s="878"/>
      <c r="L34" s="878"/>
      <c r="M34" s="878"/>
      <c r="N34" s="878"/>
      <c r="O34" s="878"/>
      <c r="P34" s="886" t="s">
        <v>145</v>
      </c>
      <c r="Q34" s="886"/>
      <c r="R34" s="886"/>
      <c r="S34" s="886"/>
      <c r="T34" s="886"/>
      <c r="U34" s="886"/>
      <c r="V34" s="282"/>
      <c r="W34" s="282"/>
    </row>
    <row r="35" spans="2:23" s="281" customFormat="1" ht="20.25" customHeight="1">
      <c r="B35" s="334"/>
      <c r="C35" s="334"/>
      <c r="D35" s="335"/>
      <c r="E35" s="335"/>
      <c r="F35" s="335"/>
      <c r="G35" s="336"/>
      <c r="H35" s="336"/>
      <c r="I35" s="883" t="s">
        <v>171</v>
      </c>
      <c r="J35" s="883"/>
      <c r="K35" s="883"/>
      <c r="L35" s="883"/>
      <c r="M35" s="883"/>
      <c r="N35" s="883"/>
      <c r="O35" s="336"/>
      <c r="P35" s="337"/>
      <c r="Q35" s="337"/>
      <c r="R35" s="337"/>
      <c r="S35" s="337"/>
      <c r="T35" s="337"/>
      <c r="U35" s="337"/>
      <c r="V35" s="282"/>
      <c r="W35" s="282"/>
    </row>
    <row r="36" spans="2:23" s="281" customFormat="1" ht="20.25" customHeight="1">
      <c r="B36" s="876"/>
      <c r="C36" s="876"/>
      <c r="D36" s="876"/>
      <c r="E36" s="876"/>
      <c r="F36" s="876"/>
      <c r="G36" s="283" t="s">
        <v>146</v>
      </c>
      <c r="H36" s="283"/>
      <c r="I36" s="283"/>
      <c r="J36" s="283"/>
      <c r="K36" s="283"/>
      <c r="L36" s="283"/>
      <c r="M36" s="283"/>
      <c r="N36" s="283"/>
      <c r="O36" s="283"/>
      <c r="P36" s="282"/>
      <c r="Q36" s="282"/>
      <c r="R36" s="282"/>
      <c r="S36" s="282"/>
      <c r="T36" s="282"/>
      <c r="U36" s="282"/>
      <c r="V36" s="282"/>
      <c r="W36" s="282"/>
    </row>
    <row r="37" spans="2:23" s="281" customFormat="1" ht="20.25" customHeight="1">
      <c r="B37" s="876"/>
      <c r="C37" s="876"/>
      <c r="D37" s="876"/>
      <c r="E37" s="876"/>
      <c r="F37" s="876"/>
      <c r="G37" s="883" t="s">
        <v>147</v>
      </c>
      <c r="H37" s="883"/>
      <c r="I37" s="883"/>
      <c r="J37" s="883"/>
      <c r="K37" s="883"/>
      <c r="L37" s="883"/>
      <c r="M37" s="883"/>
      <c r="N37" s="883"/>
      <c r="O37" s="883"/>
      <c r="P37" s="889"/>
      <c r="Q37" s="889"/>
      <c r="R37" s="889"/>
      <c r="S37" s="889"/>
      <c r="T37" s="889"/>
      <c r="U37" s="889"/>
      <c r="V37" s="889"/>
      <c r="W37" s="889"/>
    </row>
    <row r="38" spans="2:23" s="281" customFormat="1" ht="20.25" customHeight="1">
      <c r="B38" s="876"/>
      <c r="C38" s="876"/>
      <c r="D38" s="876"/>
      <c r="E38" s="876"/>
      <c r="F38" s="876"/>
      <c r="G38" s="890"/>
      <c r="H38" s="890"/>
      <c r="I38" s="890"/>
      <c r="J38" s="890"/>
      <c r="K38" s="890"/>
      <c r="L38" s="890"/>
      <c r="M38" s="890"/>
      <c r="N38" s="890"/>
      <c r="O38" s="890"/>
      <c r="P38" s="889"/>
      <c r="Q38" s="889"/>
      <c r="R38" s="889"/>
      <c r="S38" s="889"/>
      <c r="T38" s="889"/>
      <c r="U38" s="889"/>
      <c r="V38" s="889"/>
      <c r="W38" s="889"/>
    </row>
    <row r="39" spans="2:23" s="281" customFormat="1" ht="20.25" customHeight="1">
      <c r="B39" s="891"/>
      <c r="C39" s="891"/>
      <c r="D39" s="891"/>
      <c r="E39" s="891"/>
      <c r="F39" s="891"/>
      <c r="G39" s="878"/>
      <c r="H39" s="878"/>
      <c r="I39" s="878"/>
      <c r="J39" s="878"/>
      <c r="K39" s="878"/>
      <c r="L39" s="878"/>
      <c r="M39" s="878"/>
      <c r="N39" s="878"/>
      <c r="O39" s="878"/>
      <c r="P39" s="886"/>
      <c r="Q39" s="886"/>
      <c r="R39" s="886"/>
      <c r="S39" s="886"/>
      <c r="T39" s="886"/>
      <c r="U39" s="886"/>
      <c r="V39" s="282"/>
      <c r="W39" s="282"/>
    </row>
    <row r="40" spans="2:23" s="281" customFormat="1" ht="20.25" customHeight="1">
      <c r="B40" s="876"/>
      <c r="C40" s="876"/>
      <c r="D40" s="876"/>
      <c r="E40" s="876"/>
      <c r="F40" s="876"/>
      <c r="G40" s="883"/>
      <c r="H40" s="883"/>
      <c r="I40" s="883"/>
      <c r="J40" s="883"/>
      <c r="K40" s="883"/>
      <c r="L40" s="883"/>
      <c r="M40" s="883"/>
      <c r="N40" s="883"/>
      <c r="O40" s="883"/>
      <c r="P40" s="889"/>
      <c r="Q40" s="889"/>
      <c r="R40" s="889"/>
      <c r="S40" s="889"/>
      <c r="T40" s="889"/>
      <c r="U40" s="889"/>
      <c r="V40" s="889"/>
      <c r="W40" s="889"/>
    </row>
    <row r="41" spans="2:23" s="281" customFormat="1" ht="20.25" customHeight="1">
      <c r="B41" s="334"/>
      <c r="C41" s="334"/>
      <c r="D41" s="334"/>
      <c r="E41" s="334"/>
      <c r="F41" s="334"/>
      <c r="G41" s="283"/>
      <c r="H41" s="283"/>
      <c r="I41" s="283"/>
      <c r="J41" s="283"/>
      <c r="K41" s="283"/>
      <c r="L41" s="283"/>
      <c r="M41" s="283"/>
      <c r="N41" s="283"/>
      <c r="O41" s="283"/>
      <c r="P41" s="338"/>
      <c r="Q41" s="338"/>
      <c r="R41" s="338"/>
      <c r="S41" s="338"/>
      <c r="T41" s="338"/>
      <c r="U41" s="338"/>
      <c r="V41" s="338"/>
      <c r="W41" s="338"/>
    </row>
    <row r="42" spans="2:23" s="281" customFormat="1" ht="21">
      <c r="G42" s="883"/>
      <c r="H42" s="883"/>
      <c r="I42" s="883"/>
      <c r="J42" s="883"/>
      <c r="K42" s="883"/>
      <c r="L42" s="883"/>
      <c r="M42" s="883"/>
      <c r="N42" s="883"/>
      <c r="O42" s="883"/>
      <c r="P42" s="284"/>
      <c r="Q42" s="284"/>
      <c r="R42" s="284"/>
      <c r="S42" s="284"/>
      <c r="T42" s="284"/>
      <c r="U42" s="284"/>
      <c r="V42" s="284"/>
      <c r="W42" s="284"/>
    </row>
    <row r="43" spans="2:23" s="295" customFormat="1" ht="21.95" customHeight="1">
      <c r="B43" s="285"/>
      <c r="C43" s="286"/>
      <c r="D43" s="286"/>
      <c r="E43" s="287"/>
      <c r="F43" s="288"/>
      <c r="G43" s="286"/>
      <c r="H43" s="289"/>
      <c r="I43" s="290"/>
      <c r="J43" s="290"/>
      <c r="K43" s="291"/>
      <c r="L43" s="290"/>
      <c r="M43" s="290"/>
      <c r="N43" s="292"/>
      <c r="O43" s="290"/>
      <c r="P43" s="290"/>
      <c r="Q43" s="288"/>
      <c r="R43" s="286"/>
      <c r="S43" s="293"/>
      <c r="T43" s="286"/>
      <c r="U43" s="286"/>
      <c r="V43" s="294"/>
    </row>
    <row r="44" spans="2:23" s="295" customFormat="1" ht="21" customHeight="1">
      <c r="B44" s="296"/>
      <c r="C44" s="296"/>
      <c r="D44" s="296"/>
      <c r="E44" s="296"/>
      <c r="F44" s="296"/>
      <c r="G44" s="296"/>
      <c r="H44" s="296"/>
      <c r="I44" s="285"/>
      <c r="J44" s="286"/>
      <c r="K44" s="286"/>
      <c r="L44" s="287"/>
      <c r="M44" s="288"/>
      <c r="N44" s="286"/>
      <c r="O44" s="293"/>
      <c r="P44" s="296"/>
      <c r="Q44" s="296"/>
      <c r="R44" s="296"/>
      <c r="S44" s="296"/>
      <c r="T44" s="296"/>
      <c r="U44" s="296"/>
      <c r="V44" s="294"/>
    </row>
    <row r="45" spans="2:23" ht="21" customHeight="1">
      <c r="I45" s="297"/>
      <c r="J45" s="298"/>
      <c r="K45" s="298"/>
      <c r="L45" s="299"/>
      <c r="M45" s="300"/>
      <c r="N45" s="298"/>
      <c r="O45" s="301"/>
    </row>
    <row r="46" spans="2:23" ht="21" customHeight="1">
      <c r="C46" s="302"/>
      <c r="E46" s="303"/>
      <c r="I46" s="297"/>
      <c r="J46" s="298"/>
      <c r="K46" s="298"/>
      <c r="L46" s="299"/>
      <c r="M46" s="300"/>
      <c r="N46" s="298"/>
      <c r="O46" s="301"/>
      <c r="Q46" s="303"/>
      <c r="U46" s="304"/>
    </row>
    <row r="47" spans="2:23" ht="21" customHeight="1">
      <c r="E47" s="303"/>
      <c r="K47" s="303"/>
      <c r="Q47" s="303"/>
      <c r="U47" s="304"/>
    </row>
    <row r="48" spans="2:23" ht="21" customHeight="1">
      <c r="E48" s="303"/>
      <c r="K48" s="303"/>
      <c r="Q48" s="303"/>
    </row>
    <row r="51" spans="2:20" ht="21" customHeight="1">
      <c r="B51" s="304"/>
      <c r="K51" s="302"/>
      <c r="L51" s="302"/>
      <c r="N51" s="303"/>
    </row>
    <row r="52" spans="2:20" ht="21" customHeight="1">
      <c r="B52" s="304"/>
      <c r="N52" s="303"/>
    </row>
    <row r="53" spans="2:20" ht="21" customHeight="1">
      <c r="B53" s="304"/>
      <c r="N53" s="303"/>
    </row>
    <row r="54" spans="2:20" ht="21" customHeight="1">
      <c r="B54" s="304"/>
    </row>
    <row r="55" spans="2:20" ht="21" customHeight="1">
      <c r="C55" s="302"/>
      <c r="E55" s="303"/>
      <c r="F55" s="303"/>
      <c r="G55" s="303"/>
      <c r="L55" s="302"/>
      <c r="N55" s="303"/>
      <c r="R55" s="302"/>
      <c r="S55" s="302"/>
      <c r="T55" s="302"/>
    </row>
    <row r="56" spans="2:20" ht="21" customHeight="1">
      <c r="E56" s="303"/>
      <c r="F56" s="303"/>
      <c r="G56" s="303"/>
      <c r="N56" s="303"/>
    </row>
    <row r="57" spans="2:20" ht="21" customHeight="1">
      <c r="E57" s="303"/>
      <c r="F57" s="303"/>
      <c r="G57" s="303"/>
      <c r="N57" s="303"/>
    </row>
    <row r="58" spans="2:20" ht="21" customHeight="1">
      <c r="B58" s="304"/>
    </row>
    <row r="59" spans="2:20" ht="21" customHeight="1">
      <c r="C59" s="302"/>
      <c r="E59" s="303"/>
      <c r="F59" s="303"/>
      <c r="G59" s="303"/>
      <c r="L59" s="302"/>
      <c r="N59" s="303"/>
      <c r="R59" s="302"/>
      <c r="S59" s="302"/>
      <c r="T59" s="302"/>
    </row>
    <row r="60" spans="2:20" ht="21" customHeight="1">
      <c r="E60" s="303"/>
      <c r="F60" s="303"/>
      <c r="G60" s="303"/>
      <c r="N60" s="303"/>
    </row>
    <row r="61" spans="2:20" ht="21" customHeight="1">
      <c r="E61" s="303"/>
      <c r="F61" s="303"/>
      <c r="G61" s="303"/>
      <c r="N61" s="303"/>
    </row>
    <row r="62" spans="2:20" ht="21" customHeight="1">
      <c r="B62" s="304"/>
    </row>
    <row r="63" spans="2:20" ht="21" customHeight="1">
      <c r="C63" s="302"/>
      <c r="E63" s="303"/>
      <c r="F63" s="303"/>
      <c r="G63" s="303"/>
      <c r="L63" s="302"/>
      <c r="N63" s="303"/>
      <c r="R63" s="302"/>
      <c r="S63" s="302"/>
      <c r="T63" s="302"/>
    </row>
    <row r="64" spans="2:20" ht="21" customHeight="1">
      <c r="E64" s="303"/>
      <c r="F64" s="303"/>
      <c r="G64" s="303"/>
      <c r="N64" s="303"/>
    </row>
  </sheetData>
  <mergeCells count="119">
    <mergeCell ref="B40:C40"/>
    <mergeCell ref="D40:F40"/>
    <mergeCell ref="G40:O40"/>
    <mergeCell ref="P40:W40"/>
    <mergeCell ref="G42:O42"/>
    <mergeCell ref="B38:C38"/>
    <mergeCell ref="D38:F38"/>
    <mergeCell ref="G38:O38"/>
    <mergeCell ref="P38:W38"/>
    <mergeCell ref="B39:F39"/>
    <mergeCell ref="G39:O39"/>
    <mergeCell ref="P39:U39"/>
    <mergeCell ref="B36:C36"/>
    <mergeCell ref="D36:F36"/>
    <mergeCell ref="B37:C37"/>
    <mergeCell ref="D37:F37"/>
    <mergeCell ref="G37:O37"/>
    <mergeCell ref="P37:W37"/>
    <mergeCell ref="V33:W33"/>
    <mergeCell ref="B34:C34"/>
    <mergeCell ref="D34:F34"/>
    <mergeCell ref="G34:O34"/>
    <mergeCell ref="P34:U34"/>
    <mergeCell ref="I35:N35"/>
    <mergeCell ref="G32:O32"/>
    <mergeCell ref="B33:C33"/>
    <mergeCell ref="D33:F33"/>
    <mergeCell ref="G33:K33"/>
    <mergeCell ref="L33:P33"/>
    <mergeCell ref="Q33:U33"/>
    <mergeCell ref="P30:U30"/>
    <mergeCell ref="V30:W30"/>
    <mergeCell ref="B31:C31"/>
    <mergeCell ref="D31:F31"/>
    <mergeCell ref="G31:O31"/>
    <mergeCell ref="Q31:U31"/>
    <mergeCell ref="V31:W31"/>
    <mergeCell ref="C26:H26"/>
    <mergeCell ref="I26:J26"/>
    <mergeCell ref="C27:H27"/>
    <mergeCell ref="I27:J27"/>
    <mergeCell ref="B30:C30"/>
    <mergeCell ref="D30:F30"/>
    <mergeCell ref="G30:O30"/>
    <mergeCell ref="C24:O24"/>
    <mergeCell ref="P24:S24"/>
    <mergeCell ref="T24:U24"/>
    <mergeCell ref="C25:F25"/>
    <mergeCell ref="G25:O25"/>
    <mergeCell ref="P25:S25"/>
    <mergeCell ref="C23:G23"/>
    <mergeCell ref="H23:I23"/>
    <mergeCell ref="J23:M23"/>
    <mergeCell ref="N23:O23"/>
    <mergeCell ref="P23:S23"/>
    <mergeCell ref="T23:U23"/>
    <mergeCell ref="C22:G22"/>
    <mergeCell ref="H22:I22"/>
    <mergeCell ref="J22:M22"/>
    <mergeCell ref="N22:O22"/>
    <mergeCell ref="P22:S22"/>
    <mergeCell ref="T22:U22"/>
    <mergeCell ref="C21:G21"/>
    <mergeCell ref="H21:I21"/>
    <mergeCell ref="J21:M21"/>
    <mergeCell ref="N21:O21"/>
    <mergeCell ref="P21:S21"/>
    <mergeCell ref="T21:U21"/>
    <mergeCell ref="C20:G20"/>
    <mergeCell ref="H20:I20"/>
    <mergeCell ref="J20:M20"/>
    <mergeCell ref="N20:O20"/>
    <mergeCell ref="P20:S20"/>
    <mergeCell ref="T20:U20"/>
    <mergeCell ref="T18:U18"/>
    <mergeCell ref="C19:I19"/>
    <mergeCell ref="J19:M19"/>
    <mergeCell ref="N19:O19"/>
    <mergeCell ref="P19:S19"/>
    <mergeCell ref="T19:U19"/>
    <mergeCell ref="J17:M17"/>
    <mergeCell ref="P17:S17"/>
    <mergeCell ref="C18:I18"/>
    <mergeCell ref="J18:M18"/>
    <mergeCell ref="N18:O18"/>
    <mergeCell ref="P18:S18"/>
    <mergeCell ref="C15:I15"/>
    <mergeCell ref="J15:M15"/>
    <mergeCell ref="N15:O15"/>
    <mergeCell ref="P15:S15"/>
    <mergeCell ref="C10:U10"/>
    <mergeCell ref="C11:U11"/>
    <mergeCell ref="B12:B13"/>
    <mergeCell ref="C12:I13"/>
    <mergeCell ref="J12:M12"/>
    <mergeCell ref="N12:O13"/>
    <mergeCell ref="P12:S12"/>
    <mergeCell ref="T15:U15"/>
    <mergeCell ref="C16:I16"/>
    <mergeCell ref="J16:M16"/>
    <mergeCell ref="N16:O16"/>
    <mergeCell ref="P16:S16"/>
    <mergeCell ref="T12:U13"/>
    <mergeCell ref="J13:M13"/>
    <mergeCell ref="P13:S13"/>
    <mergeCell ref="C14:I14"/>
    <mergeCell ref="J14:M14"/>
    <mergeCell ref="N14:O14"/>
    <mergeCell ref="P14:S14"/>
    <mergeCell ref="T14:U14"/>
    <mergeCell ref="B1:T1"/>
    <mergeCell ref="C2:E2"/>
    <mergeCell ref="F2:U2"/>
    <mergeCell ref="C4:E4"/>
    <mergeCell ref="F4:U4"/>
    <mergeCell ref="F5:U5"/>
    <mergeCell ref="C8:D8"/>
    <mergeCell ref="E8:U8"/>
    <mergeCell ref="J9:K9"/>
  </mergeCells>
  <printOptions horizontalCentered="1"/>
  <pageMargins left="0.39370078740157483" right="0.19685039370078741" top="0.39370078740157483" bottom="0.19685039370078741" header="0.31496062992125984" footer="0.31496062992125984"/>
  <pageSetup paperSize="9" scale="92" orientation="portrait" horizontalDpi="4294967293" r:id="rId1"/>
  <colBreaks count="1" manualBreakCount="1">
    <brk id="2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4</vt:i4>
      </vt:variant>
      <vt:variant>
        <vt:lpstr>ช่วงที่มีชื่อ</vt:lpstr>
      </vt:variant>
      <vt:variant>
        <vt:i4>6</vt:i4>
      </vt:variant>
    </vt:vector>
  </HeadingPairs>
  <TitlesOfParts>
    <vt:vector size="10" baseType="lpstr">
      <vt:lpstr>ปร.4 - 20 คัน(อัยการ)</vt:lpstr>
      <vt:lpstr>ปร.5 - 20 คัน(อัยการ)</vt:lpstr>
      <vt:lpstr>ปร.4 - 12 คัน(บพ)</vt:lpstr>
      <vt:lpstr>ปร.5 - 12 คัน(บพ)</vt:lpstr>
      <vt:lpstr>'ปร.4 - 12 คัน(บพ)'!Print_Area</vt:lpstr>
      <vt:lpstr>'ปร.4 - 20 คัน(อัยการ)'!Print_Area</vt:lpstr>
      <vt:lpstr>'ปร.5 - 12 คัน(บพ)'!Print_Area</vt:lpstr>
      <vt:lpstr>'ปร.5 - 20 คัน(อัยการ)'!Print_Area</vt:lpstr>
      <vt:lpstr>'ปร.4 - 12 คัน(บพ)'!Print_Titles</vt:lpstr>
      <vt:lpstr>'ปร.4 - 20 คัน(อัยการ)'!Print_Titles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OAG</cp:lastModifiedBy>
  <cp:lastPrinted>2025-06-27T02:37:57Z</cp:lastPrinted>
  <dcterms:created xsi:type="dcterms:W3CDTF">2021-09-08T03:20:22Z</dcterms:created>
  <dcterms:modified xsi:type="dcterms:W3CDTF">2025-06-30T10:58:42Z</dcterms:modified>
</cp:coreProperties>
</file>